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roll/Dropbox/Rising Fellow/_Products/Exam 9/_Exam 9 Problem Pack/Exam 9 Problem Bank - Excel Version/RF Exam 9 Problem Bank - CBT Solutions/"/>
    </mc:Choice>
  </mc:AlternateContent>
  <xr:revisionPtr revIDLastSave="0" documentId="13_ncr:1_{2E4C282B-2D97-E340-9547-31E51C2D4DA9}" xr6:coauthVersionLast="47" xr6:coauthVersionMax="47" xr10:uidLastSave="{00000000-0000-0000-0000-000000000000}"/>
  <bookViews>
    <workbookView xWindow="20020" yWindow="500" windowWidth="22460" windowHeight="19700" activeTab="5" xr2:uid="{9DD6399B-41AA-EA4F-A023-26DD99561F53}"/>
  </bookViews>
  <sheets>
    <sheet name="BKM 16-1" sheetId="1" r:id="rId1"/>
    <sheet name="BKM 16-2" sheetId="2" r:id="rId2"/>
    <sheet name="BKM 16-3" sheetId="3" r:id="rId3"/>
    <sheet name="BKM 16-4" sheetId="4" r:id="rId4"/>
    <sheet name="BKM 16-5" sheetId="5" r:id="rId5"/>
    <sheet name="BKM 16-6" sheetId="6" r:id="rId6"/>
    <sheet name="BKM 16-7" sheetId="7" r:id="rId7"/>
    <sheet name="BKM 16-8" sheetId="8" r:id="rId8"/>
    <sheet name="BKM 16-9" sheetId="9" r:id="rId9"/>
    <sheet name="BKM 16-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6" l="1"/>
  <c r="E49" i="6"/>
  <c r="C49" i="6"/>
  <c r="C46" i="6"/>
  <c r="I40" i="6"/>
  <c r="C80" i="6"/>
  <c r="C71" i="6"/>
  <c r="C46" i="10"/>
  <c r="C26" i="10"/>
  <c r="C27" i="10" s="1"/>
  <c r="C31" i="10" s="1"/>
  <c r="D31" i="10" s="1"/>
  <c r="E31" i="10" s="1"/>
  <c r="D64" i="9"/>
  <c r="D56" i="9"/>
  <c r="D47" i="9"/>
  <c r="D49" i="9"/>
  <c r="D53" i="9" s="1"/>
  <c r="G29" i="9"/>
  <c r="G42" i="9" s="1"/>
  <c r="G40" i="9"/>
  <c r="G27" i="9"/>
  <c r="G28" i="9"/>
  <c r="G41" i="9" s="1"/>
  <c r="G26" i="9"/>
  <c r="C54" i="7"/>
  <c r="C57" i="7"/>
  <c r="C43" i="7"/>
  <c r="C55" i="6"/>
  <c r="C56" i="6" s="1"/>
  <c r="C32" i="6"/>
  <c r="C37" i="6"/>
  <c r="C61" i="6" s="1"/>
  <c r="C36" i="6"/>
  <c r="C60" i="6" s="1"/>
  <c r="C32" i="5"/>
  <c r="D45" i="2"/>
  <c r="C33" i="4"/>
  <c r="C31" i="4"/>
  <c r="C29" i="4"/>
  <c r="C42" i="3"/>
  <c r="C36" i="3"/>
  <c r="D40" i="2"/>
  <c r="E34" i="1"/>
  <c r="F34" i="1"/>
  <c r="C36" i="1" s="1"/>
  <c r="D48" i="8"/>
  <c r="C39" i="7"/>
  <c r="D39" i="7" s="1"/>
  <c r="E39" i="7" s="1"/>
  <c r="H39" i="7"/>
  <c r="I39" i="7" s="1"/>
  <c r="C40" i="7"/>
  <c r="D40" i="7" s="1"/>
  <c r="H40" i="7"/>
  <c r="I40" i="7" s="1"/>
  <c r="J40" i="7" s="1"/>
  <c r="C48" i="7"/>
  <c r="C49" i="7"/>
  <c r="G32" i="6"/>
  <c r="H32" i="6" s="1"/>
  <c r="C25" i="4"/>
  <c r="D25" i="4" s="1"/>
  <c r="B42" i="4"/>
  <c r="B43" i="4"/>
  <c r="B44" i="4" s="1"/>
  <c r="B45" i="4" s="1"/>
  <c r="B46" i="4" s="1"/>
  <c r="B47" i="4" s="1"/>
  <c r="B48" i="4" s="1"/>
  <c r="B49" i="4" s="1"/>
  <c r="B50" i="4" s="1"/>
  <c r="B51" i="4" s="1"/>
  <c r="C26" i="3"/>
  <c r="D26" i="3"/>
  <c r="E26" i="3" s="1"/>
  <c r="C27" i="3"/>
  <c r="C28" i="3"/>
  <c r="C29" i="3"/>
  <c r="C30" i="3"/>
  <c r="C31" i="3"/>
  <c r="C29" i="2"/>
  <c r="D29" i="2" s="1"/>
  <c r="C30" i="2"/>
  <c r="D30" i="2" s="1"/>
  <c r="C31" i="2"/>
  <c r="D31" i="2" s="1"/>
  <c r="C33" i="2"/>
  <c r="D33" i="2" s="1"/>
  <c r="C30" i="1"/>
  <c r="D30" i="1"/>
  <c r="E30" i="1" s="1"/>
  <c r="C31" i="1"/>
  <c r="D31" i="1"/>
  <c r="E31" i="1" s="1"/>
  <c r="F31" i="1" s="1"/>
  <c r="C32" i="1"/>
  <c r="C33" i="1"/>
  <c r="C33" i="10" l="1"/>
  <c r="D33" i="10" s="1"/>
  <c r="F31" i="10"/>
  <c r="C32" i="10"/>
  <c r="D32" i="10" s="1"/>
  <c r="D51" i="9"/>
  <c r="G44" i="9"/>
  <c r="D58" i="9" s="1"/>
  <c r="G31" i="9"/>
  <c r="C34" i="2"/>
  <c r="D32" i="1"/>
  <c r="C32" i="2"/>
  <c r="D32" i="2" s="1"/>
  <c r="E32" i="2" s="1"/>
  <c r="G56" i="6"/>
  <c r="H56" i="6" s="1"/>
  <c r="G33" i="6"/>
  <c r="H33" i="6" s="1"/>
  <c r="I33" i="6" s="1"/>
  <c r="F30" i="1"/>
  <c r="F32" i="2"/>
  <c r="F31" i="2"/>
  <c r="E31" i="2"/>
  <c r="G26" i="3"/>
  <c r="E25" i="4"/>
  <c r="F25" i="4"/>
  <c r="I32" i="6"/>
  <c r="F30" i="2"/>
  <c r="E30" i="2"/>
  <c r="F26" i="3"/>
  <c r="E40" i="7"/>
  <c r="E41" i="7" s="1"/>
  <c r="D41" i="7"/>
  <c r="C44" i="7" s="1"/>
  <c r="F33" i="2"/>
  <c r="E33" i="2"/>
  <c r="D34" i="2"/>
  <c r="E29" i="2"/>
  <c r="F29" i="2"/>
  <c r="F34" i="2" s="1"/>
  <c r="J39" i="7"/>
  <c r="J42" i="7" s="1"/>
  <c r="C27" i="4"/>
  <c r="C41" i="7"/>
  <c r="H41" i="7"/>
  <c r="I41" i="7" s="1"/>
  <c r="J41" i="7" s="1"/>
  <c r="C26" i="4"/>
  <c r="D26" i="4" s="1"/>
  <c r="D27" i="4" s="1"/>
  <c r="D27" i="3"/>
  <c r="H42" i="7"/>
  <c r="E32" i="10" l="1"/>
  <c r="F32" i="10"/>
  <c r="E33" i="10"/>
  <c r="F33" i="10"/>
  <c r="D62" i="9"/>
  <c r="D60" i="9"/>
  <c r="G34" i="6"/>
  <c r="H34" i="6" s="1"/>
  <c r="G57" i="6"/>
  <c r="H57" i="6" s="1"/>
  <c r="I56" i="6"/>
  <c r="E32" i="1"/>
  <c r="D33" i="1"/>
  <c r="E33" i="1" s="1"/>
  <c r="F33" i="1" s="1"/>
  <c r="D34" i="1"/>
  <c r="E27" i="3"/>
  <c r="D28" i="3"/>
  <c r="E34" i="2"/>
  <c r="D36" i="2" s="1"/>
  <c r="D38" i="2" s="1"/>
  <c r="E26" i="4"/>
  <c r="E27" i="4" s="1"/>
  <c r="F26" i="4"/>
  <c r="F27" i="4" s="1"/>
  <c r="I42" i="7"/>
  <c r="I45" i="7" s="1"/>
  <c r="I44" i="7"/>
  <c r="F34" i="10" l="1"/>
  <c r="E34" i="10"/>
  <c r="G35" i="6"/>
  <c r="I57" i="6"/>
  <c r="G58" i="6"/>
  <c r="H58" i="6" s="1"/>
  <c r="I58" i="6" s="1"/>
  <c r="F32" i="1"/>
  <c r="C43" i="4"/>
  <c r="D43" i="4" s="1"/>
  <c r="C47" i="4"/>
  <c r="D47" i="4" s="1"/>
  <c r="C51" i="4"/>
  <c r="D51" i="4" s="1"/>
  <c r="C44" i="4"/>
  <c r="D44" i="4" s="1"/>
  <c r="C42" i="4"/>
  <c r="D42" i="4" s="1"/>
  <c r="C46" i="4"/>
  <c r="D46" i="4" s="1"/>
  <c r="C50" i="4"/>
  <c r="D50" i="4" s="1"/>
  <c r="C41" i="4"/>
  <c r="D41" i="4" s="1"/>
  <c r="C45" i="4"/>
  <c r="D45" i="4" s="1"/>
  <c r="C49" i="4"/>
  <c r="D49" i="4" s="1"/>
  <c r="C48" i="4"/>
  <c r="D48" i="4" s="1"/>
  <c r="C55" i="7"/>
  <c r="C58" i="7" s="1"/>
  <c r="E58" i="7" s="1"/>
  <c r="E57" i="7"/>
  <c r="E28" i="3"/>
  <c r="D29" i="3"/>
  <c r="G36" i="6"/>
  <c r="H35" i="6"/>
  <c r="I35" i="6" s="1"/>
  <c r="G27" i="3"/>
  <c r="F27" i="3"/>
  <c r="I34" i="6"/>
  <c r="D34" i="10" l="1"/>
  <c r="C34" i="10"/>
  <c r="C39" i="1"/>
  <c r="C45" i="1" s="1"/>
  <c r="H36" i="6"/>
  <c r="G59" i="6"/>
  <c r="H59" i="6" s="1"/>
  <c r="E29" i="3"/>
  <c r="D30" i="3"/>
  <c r="G37" i="6"/>
  <c r="G28" i="3"/>
  <c r="F28" i="3"/>
  <c r="D36" i="10" l="1"/>
  <c r="F29" i="3"/>
  <c r="G29" i="3"/>
  <c r="G60" i="6"/>
  <c r="E30" i="3"/>
  <c r="D31" i="3"/>
  <c r="E31" i="3" s="1"/>
  <c r="I36" i="6"/>
  <c r="I37" i="6" s="1"/>
  <c r="H37" i="6"/>
  <c r="I39" i="6" l="1"/>
  <c r="C69" i="6" s="1"/>
  <c r="E32" i="3"/>
  <c r="D32" i="3"/>
  <c r="I59" i="6"/>
  <c r="I60" i="6" s="1"/>
  <c r="H60" i="6"/>
  <c r="I63" i="6" s="1"/>
  <c r="F30" i="3"/>
  <c r="G30" i="3"/>
  <c r="G31" i="3"/>
  <c r="F31" i="3"/>
  <c r="F32" i="3" s="1"/>
  <c r="C34" i="3" s="1"/>
  <c r="C47" i="6" l="1"/>
  <c r="C50" i="6" s="1"/>
  <c r="C70" i="6" s="1"/>
  <c r="C72" i="6" s="1"/>
  <c r="C73" i="6" s="1"/>
  <c r="I62" i="6"/>
  <c r="G32" i="3"/>
  <c r="C48" i="3" s="1"/>
  <c r="C83" i="6" l="1"/>
  <c r="E83" i="6" s="1"/>
  <c r="C81" i="6"/>
  <c r="C84" i="6" l="1"/>
  <c r="E8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tc={F4E70547-7FE2-D940-8AE8-839335E5A68A}</author>
  </authors>
  <commentList>
    <comment ref="C31" authorId="0" shapeId="0" xr:uid="{F4E70547-7FE2-D940-8AE8-839335E5A68A}">
      <text>
        <t>[Threaded comment]
Your version of Excel allows you to read this threaded comment; however, any edits to it will get removed if the file is opened in a newer version of Excel. Learn more: https://go.microsoft.com/fwlink/?linkid=870924
Comment:
    Liability is to be paid in 5 years.</t>
      </text>
    </comment>
  </commentList>
</comments>
</file>

<file path=xl/sharedStrings.xml><?xml version="1.0" encoding="utf-8"?>
<sst xmlns="http://schemas.openxmlformats.org/spreadsheetml/2006/main" count="478" uniqueCount="258">
  <si>
    <t>BKM 16 - Duration and Convexity - Semi-Annual</t>
  </si>
  <si>
    <t>Recipe</t>
  </si>
  <si>
    <t>Therefore, the semi-annual compounding results in an interest rate of 3% per half-year.</t>
  </si>
  <si>
    <r>
      <t>Note:</t>
    </r>
    <r>
      <rPr>
        <sz val="12"/>
        <color theme="1"/>
        <rFont val="Calibri"/>
        <family val="2"/>
      </rPr>
      <t xml:space="preserve"> They 6% yield-to-maturity is implied to be an annual rate, similar to BKM wording (for example, see BKM pg. 500).</t>
    </r>
  </si>
  <si>
    <t>Note that the risk-free rate isn't required for this problem.</t>
  </si>
  <si>
    <t>Discussion</t>
  </si>
  <si>
    <t>multiplied by 2.5).</t>
  </si>
  <si>
    <t>The duration of the bond is independent of par value so the duration will be the same (all cash flows would be</t>
  </si>
  <si>
    <t>Part d</t>
  </si>
  <si>
    <t>The bond's price decreases by about $9.51</t>
  </si>
  <si>
    <t>ΔP =</t>
  </si>
  <si>
    <t>P</t>
  </si>
  <si>
    <t>=D* x Δy</t>
  </si>
  <si>
    <t>ΔP</t>
  </si>
  <si>
    <t>Part c</t>
  </si>
  <si>
    <t>D* =</t>
  </si>
  <si>
    <t>Part b</t>
  </si>
  <si>
    <t>D =</t>
  </si>
  <si>
    <t>Total</t>
  </si>
  <si>
    <r>
      <t>t*PV(CF</t>
    </r>
    <r>
      <rPr>
        <vertAlign val="subscript"/>
        <sz val="12"/>
        <color theme="1"/>
        <rFont val="Calibri"/>
        <family val="2"/>
      </rPr>
      <t>t</t>
    </r>
    <r>
      <rPr>
        <sz val="12"/>
        <color theme="1"/>
        <rFont val="Calibri"/>
        <family val="2"/>
      </rPr>
      <t>)</t>
    </r>
  </si>
  <si>
    <r>
      <t>PV(CF</t>
    </r>
    <r>
      <rPr>
        <vertAlign val="subscript"/>
        <sz val="12"/>
        <color theme="1"/>
        <rFont val="Calibri"/>
        <family val="2"/>
      </rPr>
      <t>t</t>
    </r>
    <r>
      <rPr>
        <sz val="12"/>
        <color theme="1"/>
        <rFont val="Calibri"/>
        <family val="2"/>
      </rPr>
      <t>)</t>
    </r>
  </si>
  <si>
    <r>
      <t>CF</t>
    </r>
    <r>
      <rPr>
        <vertAlign val="subscript"/>
        <sz val="12"/>
        <color theme="1"/>
        <rFont val="Calibri"/>
        <family val="2"/>
      </rPr>
      <t>t</t>
    </r>
  </si>
  <si>
    <t>t</t>
  </si>
  <si>
    <t>Period</t>
  </si>
  <si>
    <t>Part a</t>
  </si>
  <si>
    <t>Solution</t>
  </si>
  <si>
    <t>par value.</t>
  </si>
  <si>
    <t>Briefly discuss what would happen to the duration of a bond with an idential coupon rate and yield, but a $2,500</t>
  </si>
  <si>
    <t>d.</t>
  </si>
  <si>
    <t>Discuss what happens to the price of the bond if the yield increases by 50 basis points.</t>
  </si>
  <si>
    <t>c.</t>
  </si>
  <si>
    <t>Calculate the modified duration of the bond.</t>
  </si>
  <si>
    <t>b.</t>
  </si>
  <si>
    <t>Calculate the Macaulay duration of the bond.</t>
  </si>
  <si>
    <t>a.</t>
  </si>
  <si>
    <t>Assume coupons are paid semi-annually.</t>
  </si>
  <si>
    <t>Risk-free rate:</t>
  </si>
  <si>
    <t>Yield (with semi-annual compounding):</t>
  </si>
  <si>
    <t>Annual coupon rate:</t>
  </si>
  <si>
    <t>Par value:</t>
  </si>
  <si>
    <t>Years to maturity:</t>
  </si>
  <si>
    <t>A bond has the following information:</t>
  </si>
  <si>
    <t>RF BKM 16-1</t>
  </si>
  <si>
    <t>BKM 16 - Duration and Convexity</t>
  </si>
  <si>
    <t>The duration of a zero-coupon bond equals the time to maturity, so the duration would be 5 years.</t>
  </si>
  <si>
    <t>Price change =</t>
  </si>
  <si>
    <t>Convexity =</t>
  </si>
  <si>
    <t>(years)</t>
  </si>
  <si>
    <r>
      <t>PV(CF</t>
    </r>
    <r>
      <rPr>
        <vertAlign val="subscript"/>
        <sz val="12"/>
        <color theme="1"/>
        <rFont val="Calibri"/>
        <family val="2"/>
      </rPr>
      <t>t</t>
    </r>
    <r>
      <rPr>
        <sz val="12"/>
        <color theme="1"/>
        <rFont val="Calibri"/>
        <family val="2"/>
      </rPr>
      <t>)*(t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+ t/k)</t>
    </r>
  </si>
  <si>
    <t>Period/t</t>
  </si>
  <si>
    <t>Calculate the Macaulay duration of a bond with the same yield-to-maturity if there are no coupons paid.</t>
  </si>
  <si>
    <t>1% to a new yield-to-maturity of 5%.</t>
  </si>
  <si>
    <t>Using the modified duration and convexity, calculate the percentage change in price if the interest rate drops by</t>
  </si>
  <si>
    <t>Calculate the convexity of the bond.</t>
  </si>
  <si>
    <t>Calculate the modified duration for the bond.</t>
  </si>
  <si>
    <t>Assume annual compounding.</t>
  </si>
  <si>
    <t>Yield to maturity:</t>
  </si>
  <si>
    <t>A five-year bond pays annual coupons with the following information:</t>
  </si>
  <si>
    <t>RF BKM 16-2</t>
  </si>
  <si>
    <t>Note that for part c, the new interest rate is 8.5%.  The change is 8.5% - 8% = 0.5% (or 0.005).</t>
  </si>
  <si>
    <t>A 0.5% increase in rates would result in a price decrease of 1.28%</t>
  </si>
  <si>
    <t>ΔP / P =</t>
  </si>
  <si>
    <r>
      <t>P * (1 + y/k)</t>
    </r>
    <r>
      <rPr>
        <vertAlign val="superscript"/>
        <sz val="12"/>
        <color theme="1"/>
        <rFont val="Calibri"/>
        <family val="2"/>
      </rPr>
      <t>2</t>
    </r>
  </si>
  <si>
    <t>&lt;-- cell G32 from part (a)</t>
  </si>
  <si>
    <r>
      <t>ΣPV(CF</t>
    </r>
    <r>
      <rPr>
        <u/>
        <vertAlign val="subscript"/>
        <sz val="12"/>
        <color theme="1"/>
        <rFont val="Calibri"/>
        <family val="2"/>
      </rPr>
      <t>t</t>
    </r>
    <r>
      <rPr>
        <u/>
        <sz val="12"/>
        <color theme="1"/>
        <rFont val="Calibri"/>
        <family val="2"/>
      </rPr>
      <t>)*(t</t>
    </r>
    <r>
      <rPr>
        <u/>
        <vertAlign val="superscript"/>
        <sz val="12"/>
        <color theme="1"/>
        <rFont val="Calibri"/>
        <family val="2"/>
      </rPr>
      <t>2</t>
    </r>
    <r>
      <rPr>
        <u/>
        <sz val="12"/>
        <color theme="1"/>
        <rFont val="Calibri"/>
        <family val="2"/>
      </rPr>
      <t xml:space="preserve"> + t/k)</t>
    </r>
  </si>
  <si>
    <t>**k = 2 for semi-annual compounding</t>
  </si>
  <si>
    <t>(Needed for part b)</t>
  </si>
  <si>
    <t>rates rise to 8.5%.</t>
  </si>
  <si>
    <t>Calculate the approximate percent change in price of the bond using the duration and convexity if the interest</t>
  </si>
  <si>
    <t>RF BKM 16-3</t>
  </si>
  <si>
    <t>graph, but enough to show the work.</t>
  </si>
  <si>
    <t>yields, so an argument could be made against the preference as well.  For this problem, you don't need all the points for the</t>
  </si>
  <si>
    <t>For part b, BKM (pg. 508) mentions that the higher convexity isn't free; these bonds would be priced higher and accept lower</t>
  </si>
  <si>
    <t>rate increases due to the higher convexity.</t>
  </si>
  <si>
    <t>The second bond is preferable.  The bond price will benefit more from interest rate decreases and suffer less from</t>
  </si>
  <si>
    <t>Duration and Convexity</t>
  </si>
  <si>
    <t>Modified Duration</t>
  </si>
  <si>
    <t>Δy</t>
  </si>
  <si>
    <r>
      <t>(</t>
    </r>
    <r>
      <rPr>
        <i/>
        <sz val="12"/>
        <color theme="1"/>
        <rFont val="Calibri"/>
        <family val="2"/>
      </rPr>
      <t>ii</t>
    </r>
    <r>
      <rPr>
        <sz val="12"/>
        <color theme="1"/>
        <rFont val="Calibri"/>
        <family val="2"/>
      </rPr>
      <t>)</t>
    </r>
  </si>
  <si>
    <r>
      <t>(</t>
    </r>
    <r>
      <rPr>
        <i/>
        <sz val="12"/>
        <color theme="1"/>
        <rFont val="Calibri"/>
        <family val="2"/>
      </rPr>
      <t>i</t>
    </r>
    <r>
      <rPr>
        <sz val="12"/>
        <color theme="1"/>
        <rFont val="Calibri"/>
        <family val="2"/>
      </rPr>
      <t>)</t>
    </r>
  </si>
  <si>
    <t>Percent change in price equations:</t>
  </si>
  <si>
    <t>**k = 1 for annual compounding</t>
  </si>
  <si>
    <r>
      <t xml:space="preserve">Period / </t>
    </r>
    <r>
      <rPr>
        <i/>
        <sz val="12"/>
        <color theme="1"/>
        <rFont val="Calibri"/>
        <family val="2"/>
      </rPr>
      <t>t</t>
    </r>
  </si>
  <si>
    <t>Discuss whether the second bond is preferable to the first for an investor to hold and defend your position.</t>
  </si>
  <si>
    <t>ii. Modified duration and convexity</t>
  </si>
  <si>
    <t>i. Modified duration only</t>
  </si>
  <si>
    <t>point decrease to a 5 percentage point increase in yield using the following approaches:</t>
  </si>
  <si>
    <t>Graph the percentage change in price for the initial bond as a function of the change in yield from a 5 percentage</t>
  </si>
  <si>
    <t>A second bond has the same modified duration but a higher convexity.</t>
  </si>
  <si>
    <t>compounded annually</t>
  </si>
  <si>
    <t>Stated yield-to-maturity</t>
  </si>
  <si>
    <t>paid annually</t>
  </si>
  <si>
    <t>RF BKM 16-4</t>
  </si>
  <si>
    <t>BKM 16 - Effective Duration</t>
  </si>
  <si>
    <t>good section for an essay-based question.</t>
  </si>
  <si>
    <t>Take a look at pg. 508-509 in BKM (11th edition), which discusses the duration and convexity of callable bonds.  This would be a</t>
  </si>
  <si>
    <t>the call price.</t>
  </si>
  <si>
    <t>Since there is a cap on the price of the bond (call price), this will change to negative convexity as the price nears</t>
  </si>
  <si>
    <t>The bond will have a positive convexity for higher interest rates (when the price is lower and will not be called).</t>
  </si>
  <si>
    <t>means we cannot calculate the Macaulay duration.</t>
  </si>
  <si>
    <t>With a callable bond, there is a chance that the bond will be called before maturity.  The uncertainty in cash flows</t>
  </si>
  <si>
    <r>
      <t>D</t>
    </r>
    <r>
      <rPr>
        <b/>
        <vertAlign val="subscript"/>
        <sz val="12"/>
        <color theme="1"/>
        <rFont val="Calibri"/>
        <family val="2"/>
      </rPr>
      <t>effective</t>
    </r>
    <r>
      <rPr>
        <b/>
        <sz val="12"/>
        <color theme="1"/>
        <rFont val="Calibri"/>
        <family val="2"/>
      </rPr>
      <t xml:space="preserve"> =</t>
    </r>
  </si>
  <si>
    <t>Δr</t>
  </si>
  <si>
    <t>-ΔP / P</t>
  </si>
  <si>
    <r>
      <t>D</t>
    </r>
    <r>
      <rPr>
        <vertAlign val="subscript"/>
        <sz val="12"/>
        <color theme="1"/>
        <rFont val="Calibri"/>
        <family val="2"/>
      </rPr>
      <t>effective</t>
    </r>
    <r>
      <rPr>
        <sz val="12"/>
        <color theme="1"/>
        <rFont val="Calibri"/>
        <family val="2"/>
      </rPr>
      <t xml:space="preserve"> =</t>
    </r>
  </si>
  <si>
    <t>Describe the convexity of a callable bond.</t>
  </si>
  <si>
    <t>Discuss why Macaulay's duration cannot be used on a callable bond.</t>
  </si>
  <si>
    <t>Calculate the effective duration of the bond.</t>
  </si>
  <si>
    <t>Bond Price</t>
  </si>
  <si>
    <t>Market Interest Rate</t>
  </si>
  <si>
    <t>Below is a table showing the bond price at varying market interest rates:</t>
  </si>
  <si>
    <t>Current market interest rate:</t>
  </si>
  <si>
    <t>Call price:</t>
  </si>
  <si>
    <t>A callable bond has the following information:</t>
  </si>
  <si>
    <t>RF BKM 16-5</t>
  </si>
  <si>
    <t>BKM 16 - Immunization</t>
  </si>
  <si>
    <t>There are also transaction costs involved with rebalancing the immunized position.</t>
  </si>
  <si>
    <t>If there are no sellers of the bond in a year, the insurer will not be able to rebalance the portfolio as done in part b.</t>
  </si>
  <si>
    <t>bonds</t>
  </si>
  <si>
    <t>PV(bond) =</t>
  </si>
  <si>
    <t>perpetuities</t>
  </si>
  <si>
    <t>PV(perp) =</t>
  </si>
  <si>
    <t>Buy the following:</t>
  </si>
  <si>
    <r>
      <t>w</t>
    </r>
    <r>
      <rPr>
        <vertAlign val="subscript"/>
        <sz val="12"/>
        <color theme="1"/>
        <rFont val="Calibri"/>
        <family val="2"/>
      </rPr>
      <t>bond</t>
    </r>
    <r>
      <rPr>
        <sz val="12"/>
        <color theme="1"/>
        <rFont val="Calibri"/>
        <family val="2"/>
      </rPr>
      <t xml:space="preserve"> =</t>
    </r>
  </si>
  <si>
    <r>
      <t>w</t>
    </r>
    <r>
      <rPr>
        <vertAlign val="subscript"/>
        <sz val="12"/>
        <color theme="1"/>
        <rFont val="Calibri"/>
        <family val="2"/>
      </rPr>
      <t>perp</t>
    </r>
    <r>
      <rPr>
        <sz val="12"/>
        <color theme="1"/>
        <rFont val="Calibri"/>
        <family val="2"/>
      </rPr>
      <t xml:space="preserve"> =</t>
    </r>
  </si>
  <si>
    <t>21w + 3.723(1 - w) = 4</t>
  </si>
  <si>
    <t>To find the weight on the perpetuity:</t>
  </si>
  <si>
    <t>Price =</t>
  </si>
  <si>
    <t>Perpetuity</t>
  </si>
  <si>
    <t>PV =</t>
  </si>
  <si>
    <t>Period / t</t>
  </si>
  <si>
    <t xml:space="preserve">D = </t>
  </si>
  <si>
    <t>Bond</t>
  </si>
  <si>
    <t>Liability</t>
  </si>
  <si>
    <t>21w + 4.546(1 - w) = 5</t>
  </si>
  <si>
    <t>Briefly discuss a possible issue with rebalancing the portfolio.</t>
  </si>
  <si>
    <t>Rebalance the portfolio to maintain an immunized position one year later if interest rates haven't changed.</t>
  </si>
  <si>
    <t>Create a portfolio that fully funds and immunizes the obligation.</t>
  </si>
  <si>
    <t>Assume a flat yield curve.</t>
  </si>
  <si>
    <t>Bond time to maturity (years):</t>
  </si>
  <si>
    <t>Face value of bond:</t>
  </si>
  <si>
    <t>Market interest rate:</t>
  </si>
  <si>
    <t>Liability amount:</t>
  </si>
  <si>
    <t>perpetuities and annual coupon bonds.  Information is as follows:</t>
  </si>
  <si>
    <t>An insurer has a fixed liability to be paid in five years.  It ichooses to fund the liability with a mixture of available</t>
  </si>
  <si>
    <t>RF BKM 16-6</t>
  </si>
  <si>
    <t>would be no need to rebalance over the life of the liabilities.</t>
  </si>
  <si>
    <t>Assuming all else is equal, the portfolio in part b is preferable for the purpose of immunization because there</t>
  </si>
  <si>
    <t>- Ten $10,000 par-value zeroes maturing in four years</t>
  </si>
  <si>
    <t>- Five $10,000 par-value zeroes maturing in two years and</t>
  </si>
  <si>
    <t>durations.  For example:</t>
  </si>
  <si>
    <t>In a world where all securities exist, we can cash-flow match using zero-coupon bonds with matching values and</t>
  </si>
  <si>
    <t>11w + 2.777(1 - w) = 3.246</t>
  </si>
  <si>
    <t>Explain.</t>
  </si>
  <si>
    <t xml:space="preserve">Which portfolio is the preferred portfolio for immunization assuming the portfolio in part b can be created? </t>
  </si>
  <si>
    <r>
      <t xml:space="preserve">Use a dedication strategy to immunize the portfolio using </t>
    </r>
    <r>
      <rPr>
        <i/>
        <u/>
        <sz val="12"/>
        <color theme="1"/>
        <rFont val="Calibri"/>
        <family val="2"/>
      </rPr>
      <t>any</t>
    </r>
    <r>
      <rPr>
        <sz val="12"/>
        <color theme="1"/>
        <rFont val="Calibri"/>
        <family val="2"/>
      </rPr>
      <t xml:space="preserve"> two securities (not just the ones above).</t>
    </r>
  </si>
  <si>
    <t>Create an asset portfolio using the assets above that fully funds and immunizes the obligation.</t>
  </si>
  <si>
    <t>Bond:</t>
  </si>
  <si>
    <t>Payment per year:</t>
  </si>
  <si>
    <t>Perpetuity:</t>
  </si>
  <si>
    <t>The insurer decides to immunize its position with perpetuities and bonds below:</t>
  </si>
  <si>
    <t>Value</t>
  </si>
  <si>
    <t>Time to maturity (years)</t>
  </si>
  <si>
    <t>An insurer has the following liabilities:</t>
  </si>
  <si>
    <t>RF BKM 16-7</t>
  </si>
  <si>
    <t>you get an essay question.</t>
  </si>
  <si>
    <t>Take a look at pg. 502-505 which discusses how different features impact duration.  It's good to have an intuitive idea of this if</t>
  </si>
  <si>
    <t>The duration of the zero-coupon bond is equal to its maturity, 11 years.</t>
  </si>
  <si>
    <t>(1 + y) / y =</t>
  </si>
  <si>
    <r>
      <t>D</t>
    </r>
    <r>
      <rPr>
        <vertAlign val="subscript"/>
        <sz val="12"/>
        <color theme="1"/>
        <rFont val="Calibri"/>
        <family val="2"/>
      </rPr>
      <t>perp</t>
    </r>
    <r>
      <rPr>
        <sz val="12"/>
        <color theme="1"/>
        <rFont val="Calibri"/>
        <family val="2"/>
      </rPr>
      <t xml:space="preserve"> =</t>
    </r>
  </si>
  <si>
    <t>Both bonds have the same duration.</t>
  </si>
  <si>
    <r>
      <t>the first bond will have a higher yield (1.04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= 1.0815 &gt; 1.08), leading us back to Rule 4 from part a.</t>
    </r>
  </si>
  <si>
    <t>When the coupons are semiannual, the average payment is earlier.  Also, comparing the yields on an annual basis,</t>
  </si>
  <si>
    <t>The second bond will have a higher duration.</t>
  </si>
  <si>
    <r>
      <t>Note</t>
    </r>
    <r>
      <rPr>
        <sz val="12"/>
        <color theme="1"/>
        <rFont val="Calibri"/>
        <family val="2"/>
      </rPr>
      <t>: This is Rule 2 for Duration.</t>
    </r>
  </si>
  <si>
    <t>greater the weights will be on the earlier payments.</t>
  </si>
  <si>
    <t>Holding maturity constant, a bond's duration is lower when the coupon rate is higher.  The higher the coupons, the</t>
  </si>
  <si>
    <t>The first bond will have a higher duration.</t>
  </si>
  <si>
    <r>
      <t>Note</t>
    </r>
    <r>
      <rPr>
        <sz val="12"/>
        <color theme="1"/>
        <rFont val="Calibri"/>
        <family val="2"/>
      </rPr>
      <t>: This is Rule 4 for Duration.</t>
    </r>
  </si>
  <si>
    <t>yield reduces the value of more distant payments by a greater amount (i.e. the par value at maturity).</t>
  </si>
  <si>
    <t>Holding other factors constant, the duration of a coupon bond is higher when the bond's yield is lower.  The higher</t>
  </si>
  <si>
    <t>ii) An 11-year zero-coupon bond</t>
  </si>
  <si>
    <t>i) A perpetuity yielding 10%</t>
  </si>
  <si>
    <t>ii) A four-year bond with 8% coupons paid annually with an 8% snnual yield</t>
  </si>
  <si>
    <t>i) A four-year bond with 8% coupons paid semiannually with an 8% semiannual yield</t>
  </si>
  <si>
    <t>ii) A three-year 8% annual coupon bond with a 7% yield</t>
  </si>
  <si>
    <t>i) A three-year, 5% annual coupon bond with a 7% yield</t>
  </si>
  <si>
    <t>ii) A two-year, 5% annual coupon bond with a 7% yield</t>
  </si>
  <si>
    <t>i) A two-year, 5% annual coupon bond with a 6% yield</t>
  </si>
  <si>
    <t>For each pair of assets in the below scenarios, choose which would have a greater duration and explain why:</t>
  </si>
  <si>
    <t>RF BKM 16-8</t>
  </si>
  <si>
    <t>BKM 16 - Horizon Analysis</t>
  </si>
  <si>
    <t>Note that the reinvestment rate has little effect over such a short time period.</t>
  </si>
  <si>
    <t>Difference in return =</t>
  </si>
  <si>
    <r>
      <t>r'</t>
    </r>
    <r>
      <rPr>
        <vertAlign val="subscript"/>
        <sz val="12"/>
        <color theme="1"/>
        <rFont val="Calibri"/>
        <family val="2"/>
        <scheme val="minor"/>
      </rPr>
      <t>annual</t>
    </r>
    <r>
      <rPr>
        <sz val="12"/>
        <color theme="1"/>
        <rFont val="Calibri"/>
        <family val="2"/>
        <scheme val="minor"/>
      </rPr>
      <t xml:space="preserve"> =</t>
    </r>
  </si>
  <si>
    <r>
      <t>(1 + r'</t>
    </r>
    <r>
      <rPr>
        <vertAlign val="subscript"/>
        <sz val="12"/>
        <color theme="1"/>
        <rFont val="Calibri"/>
        <family val="2"/>
        <scheme val="minor"/>
      </rPr>
      <t>annual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 =</t>
    </r>
  </si>
  <si>
    <r>
      <t>r'</t>
    </r>
    <r>
      <rPr>
        <vertAlign val="subscript"/>
        <sz val="12"/>
        <color theme="1"/>
        <rFont val="Calibri"/>
        <family val="2"/>
        <scheme val="minor"/>
      </rPr>
      <t>Horizon</t>
    </r>
    <r>
      <rPr>
        <sz val="12"/>
        <color theme="1"/>
        <rFont val="Calibri"/>
        <family val="2"/>
        <scheme val="minor"/>
      </rPr>
      <t xml:space="preserve"> =</t>
    </r>
  </si>
  <si>
    <t>FV(coupons) =</t>
  </si>
  <si>
    <r>
      <t>r</t>
    </r>
    <r>
      <rPr>
        <b/>
        <vertAlign val="subscript"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=</t>
    </r>
  </si>
  <si>
    <r>
      <t>(1 + r</t>
    </r>
    <r>
      <rPr>
        <vertAlign val="subscript"/>
        <sz val="12"/>
        <color theme="1"/>
        <rFont val="Calibri"/>
        <family val="2"/>
        <scheme val="minor"/>
      </rPr>
      <t>annual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 =</t>
    </r>
  </si>
  <si>
    <r>
      <t>r</t>
    </r>
    <r>
      <rPr>
        <vertAlign val="subscript"/>
        <sz val="12"/>
        <color theme="1"/>
        <rFont val="Calibri"/>
        <family val="2"/>
        <scheme val="minor"/>
      </rPr>
      <t>Horizon</t>
    </r>
    <r>
      <rPr>
        <sz val="12"/>
        <color theme="1"/>
        <rFont val="Calibri"/>
        <family val="2"/>
        <scheme val="minor"/>
      </rPr>
      <t xml:space="preserve"> =</t>
    </r>
  </si>
  <si>
    <t>YTM</t>
  </si>
  <si>
    <t>(Value at maturity)</t>
  </si>
  <si>
    <t>FV = 1000</t>
  </si>
  <si>
    <t>N = 13</t>
  </si>
  <si>
    <t>(1000 * .08)</t>
  </si>
  <si>
    <t>PMT = 80</t>
  </si>
  <si>
    <t>I/Y = 5%</t>
  </si>
  <si>
    <t>Using Excel functions</t>
  </si>
  <si>
    <t>BA II Plus Inputs</t>
  </si>
  <si>
    <t>Forecast Price:</t>
  </si>
  <si>
    <t>N = 15</t>
  </si>
  <si>
    <t>I/Y = 6%</t>
  </si>
  <si>
    <t>Current Price:</t>
  </si>
  <si>
    <t>Find the difference in the two-year annualized return if the reinvestment rate is 10%.</t>
  </si>
  <si>
    <t>Calculate the annulaized rate of return of the bond over two years.</t>
  </si>
  <si>
    <t>payments can be reinvested in short-term securities over the coming two years at an annual rate of 5%.</t>
  </si>
  <si>
    <t>An analyst forecasts that in two years, 13-year bonds will sell at yields of 5%.  She also expects that any coupon</t>
  </si>
  <si>
    <t>assuming annual compounding</t>
  </si>
  <si>
    <t>Yield-to-maturity:</t>
  </si>
  <si>
    <t>RF BKM 16-9</t>
  </si>
  <si>
    <t>coupon rate =</t>
  </si>
  <si>
    <t>Since the par value is 1,000:</t>
  </si>
  <si>
    <t>does not equal 2.8.</t>
  </si>
  <si>
    <t>The duration of a zero-coupon bond is equal to its time to maturity.  As a result, the duration of the bond is 3, which</t>
  </si>
  <si>
    <t>Find the convexity of the bond in answer (b).</t>
  </si>
  <si>
    <t>Assume the bond's time to maturity is still three years.</t>
  </si>
  <si>
    <t>What annual coupon rate for the bond (to the nearest tenth of a percent) that would best satisfy the client's need.</t>
  </si>
  <si>
    <t>Explain why a zero-coupon bond would not work in this instance.</t>
  </si>
  <si>
    <t>with a 3-year bond with a 6% yield to maturity.  All bonds available to the client have a par value of $1000.</t>
  </si>
  <si>
    <t>A client has liabilities with a combined duration equal to 2.8 years.  He would like to immunize his liabilities</t>
  </si>
  <si>
    <t>RF BKM 16-10</t>
  </si>
  <si>
    <r>
      <t>=-D* x Δy + 0.5*Convexity*Δy</t>
    </r>
    <r>
      <rPr>
        <vertAlign val="superscript"/>
        <sz val="12"/>
        <color theme="1"/>
        <rFont val="Calibri"/>
        <family val="2"/>
      </rPr>
      <t>2</t>
    </r>
  </si>
  <si>
    <r>
      <t>Price change =-D* x Δy + 0.5*Convexity*Δy</t>
    </r>
    <r>
      <rPr>
        <vertAlign val="superscript"/>
        <sz val="12"/>
        <color theme="1"/>
        <rFont val="Calibri"/>
        <family val="2"/>
      </rPr>
      <t>2</t>
    </r>
  </si>
  <si>
    <t>Annual coupon rate for bond:</t>
  </si>
  <si>
    <t>Perpetuity annual payment:</t>
  </si>
  <si>
    <r>
      <t xml:space="preserve">Note: </t>
    </r>
    <r>
      <rPr>
        <sz val="12"/>
        <color theme="1"/>
        <rFont val="Calibri"/>
        <family val="2"/>
      </rPr>
      <t xml:space="preserve"> Price = Par Value because the market interest rate = Annual Coupon Rate</t>
    </r>
  </si>
  <si>
    <t xml:space="preserve">(Since interest rates didn't change, neither do the </t>
  </si>
  <si>
    <t>perpetuity duration and present value from part a)</t>
  </si>
  <si>
    <t>Adjust the portfolio to the following:</t>
  </si>
  <si>
    <t>Evaluate funding of the asset portfolio including coupon payments received:</t>
  </si>
  <si>
    <t>Payments</t>
  </si>
  <si>
    <t>PV(Asset @t=1)</t>
  </si>
  <si>
    <t>Assets</t>
  </si>
  <si>
    <t>PV(Asset - Liability)</t>
  </si>
  <si>
    <t>The liability is still fully funded, but rebalancing is necessary to match the new duration:</t>
  </si>
  <si>
    <t>RATE</t>
  </si>
  <si>
    <t>NPER</t>
  </si>
  <si>
    <t>PMT</t>
  </si>
  <si>
    <t>FV</t>
  </si>
  <si>
    <t xml:space="preserve">PV = </t>
  </si>
  <si>
    <t>Face Value:</t>
  </si>
  <si>
    <t>Coupon Rate</t>
  </si>
  <si>
    <t>Coupon Pmt</t>
  </si>
  <si>
    <t>Adjust the coupon rate (below) until D = 2.8:</t>
  </si>
  <si>
    <t>Knowing the coupon rate (7.5%), we can use the table above and plug in, adding a column for convexity (above):</t>
  </si>
  <si>
    <r>
      <t xml:space="preserve">Note: </t>
    </r>
    <r>
      <rPr>
        <sz val="12"/>
        <color theme="1"/>
        <rFont val="Calibri"/>
        <family val="2"/>
      </rPr>
      <t xml:space="preserve">Received the $500 (per bond) coupon payment and $500 </t>
    </r>
  </si>
  <si>
    <t>perpetuity payment (per perpetuity) at t=1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</si>
</sst>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&quot;$&quot;* #,##0_);_(&quot;$&quot;* \(#,##0\);_(&quot;$&quot;* &quot;-&quot;??_);_(@_)"/>
    <numFmt numFmtId="167" formatCode="0.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vertAlign val="superscript"/>
      <sz val="12"/>
      <color theme="1"/>
      <name val="Calibri"/>
      <family val="2"/>
    </font>
    <font>
      <u/>
      <vertAlign val="subscript"/>
      <sz val="12"/>
      <color theme="1"/>
      <name val="Calibri"/>
      <family val="2"/>
    </font>
    <font>
      <u/>
      <vertAlign val="superscript"/>
      <sz val="12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</font>
    <font>
      <u/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family val="2"/>
    </font>
    <font>
      <b/>
      <sz val="11"/>
      <color theme="1"/>
      <name val="Calibri"/>
      <family val="2"/>
    </font>
    <font>
      <i/>
      <u/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8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9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4" fillId="2" borderId="6" xfId="0" applyFont="1" applyFill="1" applyBorder="1"/>
    <xf numFmtId="0" fontId="6" fillId="2" borderId="7" xfId="0" applyFont="1" applyFill="1" applyBorder="1"/>
    <xf numFmtId="166" fontId="6" fillId="2" borderId="7" xfId="2" applyNumberFormat="1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6" fillId="2" borderId="0" xfId="0" applyFont="1" applyFill="1"/>
    <xf numFmtId="2" fontId="12" fillId="2" borderId="10" xfId="0" applyNumberFormat="1" applyFont="1" applyFill="1" applyBorder="1" applyAlignment="1">
      <alignment horizontal="left"/>
    </xf>
    <xf numFmtId="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10" xfId="0" applyFont="1" applyFill="1" applyBorder="1"/>
    <xf numFmtId="10" fontId="7" fillId="0" borderId="1" xfId="3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2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1" applyNumberFormat="1" applyFont="1" applyAlignment="1">
      <alignment horizontal="centerContinuous"/>
    </xf>
    <xf numFmtId="165" fontId="6" fillId="0" borderId="0" xfId="1" applyNumberFormat="1" applyFont="1" applyAlignment="1">
      <alignment horizontal="centerContinuous"/>
    </xf>
    <xf numFmtId="1" fontId="6" fillId="0" borderId="4" xfId="1" applyNumberFormat="1" applyFont="1" applyBorder="1" applyAlignment="1">
      <alignment horizontal="centerContinuous"/>
    </xf>
    <xf numFmtId="165" fontId="6" fillId="0" borderId="4" xfId="1" applyNumberFormat="1" applyFont="1" applyBorder="1" applyAlignment="1">
      <alignment horizontal="centerContinuous"/>
    </xf>
    <xf numFmtId="1" fontId="6" fillId="0" borderId="12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0" fontId="7" fillId="0" borderId="1" xfId="3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165" fontId="6" fillId="0" borderId="0" xfId="1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9" fillId="0" borderId="0" xfId="0" quotePrefix="1" applyFont="1" applyAlignment="1">
      <alignment horizontal="center"/>
    </xf>
    <xf numFmtId="167" fontId="6" fillId="2" borderId="0" xfId="0" applyNumberFormat="1" applyFont="1" applyFill="1" applyAlignment="1">
      <alignment horizontal="center"/>
    </xf>
    <xf numFmtId="6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6" fillId="2" borderId="3" xfId="0" applyFont="1" applyFill="1" applyBorder="1"/>
    <xf numFmtId="0" fontId="7" fillId="0" borderId="6" xfId="0" applyFont="1" applyBorder="1" applyAlignment="1">
      <alignment horizontal="left"/>
    </xf>
    <xf numFmtId="164" fontId="7" fillId="0" borderId="8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left"/>
    </xf>
    <xf numFmtId="164" fontId="7" fillId="0" borderId="16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165" fontId="0" fillId="0" borderId="4" xfId="0" applyNumberForma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" fontId="6" fillId="0" borderId="0" xfId="1" applyNumberFormat="1" applyFont="1" applyAlignment="1">
      <alignment horizontal="center" vertical="center"/>
    </xf>
    <xf numFmtId="0" fontId="9" fillId="0" borderId="0" xfId="0" applyFont="1"/>
    <xf numFmtId="2" fontId="7" fillId="0" borderId="8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0" fontId="9" fillId="2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7" fontId="0" fillId="0" borderId="0" xfId="3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0" fontId="6" fillId="0" borderId="0" xfId="3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7" fillId="0" borderId="2" xfId="0" applyFont="1" applyBorder="1"/>
    <xf numFmtId="0" fontId="11" fillId="2" borderId="16" xfId="0" applyFont="1" applyFill="1" applyBorder="1"/>
    <xf numFmtId="0" fontId="6" fillId="2" borderId="17" xfId="0" applyFont="1" applyFill="1" applyBorder="1"/>
    <xf numFmtId="0" fontId="4" fillId="2" borderId="15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6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6" fontId="6" fillId="2" borderId="0" xfId="0" applyNumberFormat="1" applyFont="1" applyFill="1"/>
    <xf numFmtId="6" fontId="6" fillId="2" borderId="0" xfId="0" applyNumberFormat="1" applyFont="1" applyFill="1" applyAlignment="1">
      <alignment horizontal="left"/>
    </xf>
    <xf numFmtId="10" fontId="6" fillId="2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8" fontId="6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/>
    <xf numFmtId="8" fontId="6" fillId="0" borderId="0" xfId="0" applyNumberFormat="1" applyFont="1" applyAlignment="1">
      <alignment horizontal="center"/>
    </xf>
    <xf numFmtId="9" fontId="0" fillId="0" borderId="0" xfId="0" applyNumberFormat="1"/>
    <xf numFmtId="0" fontId="8" fillId="0" borderId="0" xfId="0" applyFont="1" applyAlignment="1">
      <alignment horizontal="left"/>
    </xf>
    <xf numFmtId="2" fontId="6" fillId="0" borderId="0" xfId="3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6" fontId="0" fillId="0" borderId="0" xfId="0" applyNumberFormat="1"/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7" fontId="7" fillId="3" borderId="1" xfId="3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8" fontId="6" fillId="0" borderId="4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'BKM 16-4'!$C$40</c:f>
              <c:strCache>
                <c:ptCount val="1"/>
                <c:pt idx="0">
                  <c:v>Modified Duration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'BKM 16-4'!$B$41:$B$51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-1.9999999999999997E-2</c:v>
                </c:pt>
                <c:pt idx="4">
                  <c:v>-9.9999999999999967E-3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'BKM 16-4'!$C$41:$C$51</c:f>
              <c:numCache>
                <c:formatCode>0.00%</c:formatCode>
                <c:ptCount val="11"/>
                <c:pt idx="0">
                  <c:v>9.3389666402605404E-2</c:v>
                </c:pt>
                <c:pt idx="1">
                  <c:v>7.4711733122084317E-2</c:v>
                </c:pt>
                <c:pt idx="2">
                  <c:v>5.6033799841563238E-2</c:v>
                </c:pt>
                <c:pt idx="3">
                  <c:v>3.7355866561042152E-2</c:v>
                </c:pt>
                <c:pt idx="4">
                  <c:v>1.8677933280521072E-2</c:v>
                </c:pt>
                <c:pt idx="5">
                  <c:v>0</c:v>
                </c:pt>
                <c:pt idx="6">
                  <c:v>-1.8677933280521079E-2</c:v>
                </c:pt>
                <c:pt idx="7">
                  <c:v>-3.7355866561042159E-2</c:v>
                </c:pt>
                <c:pt idx="8">
                  <c:v>-5.6033799841563238E-2</c:v>
                </c:pt>
                <c:pt idx="9">
                  <c:v>-7.4711733122084317E-2</c:v>
                </c:pt>
                <c:pt idx="10">
                  <c:v>-9.3389666402605404E-2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91-544B-ABBE-36318F8926DA}"/>
            </c:ext>
          </c:extLst>
        </c:ser>
        <c:ser>
          <c:idx val="1"/>
          <c:order val="1"/>
          <c:tx>
            <c:strRef>
              <c:f>'BKM 16-4'!$D$40</c:f>
              <c:strCache>
                <c:ptCount val="1"/>
                <c:pt idx="0">
                  <c:v>Duration and Convexity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'BKM 16-4'!$B$41:$B$51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-1.9999999999999997E-2</c:v>
                </c:pt>
                <c:pt idx="4">
                  <c:v>-9.9999999999999967E-3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'BKM 16-4'!$D$41:$D$51</c:f>
              <c:numCache>
                <c:formatCode>0.00%</c:formatCode>
                <c:ptCount val="11"/>
                <c:pt idx="0">
                  <c:v>0.10001634664956556</c:v>
                </c:pt>
                <c:pt idx="1">
                  <c:v>7.8952808480138817E-2</c:v>
                </c:pt>
                <c:pt idx="2">
                  <c:v>5.8419404730468895E-2</c:v>
                </c:pt>
                <c:pt idx="3">
                  <c:v>3.8416135400555773E-2</c:v>
                </c:pt>
                <c:pt idx="4">
                  <c:v>1.8943000490399479E-2</c:v>
                </c:pt>
                <c:pt idx="5">
                  <c:v>0</c:v>
                </c:pt>
                <c:pt idx="6">
                  <c:v>-1.8412866070642672E-2</c:v>
                </c:pt>
                <c:pt idx="7">
                  <c:v>-3.6295597721528537E-2</c:v>
                </c:pt>
                <c:pt idx="8">
                  <c:v>-5.3648194952657581E-2</c:v>
                </c:pt>
                <c:pt idx="9">
                  <c:v>-7.0470657764029818E-2</c:v>
                </c:pt>
                <c:pt idx="10">
                  <c:v>-8.6762986155645247E-2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91-544B-ABBE-36318F89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18271"/>
        <c:axId val="59019903"/>
      </c:scatterChart>
      <c:valAx>
        <c:axId val="59018271"/>
        <c:scaling>
          <c:orientation val="minMax"/>
          <c:max val="5.000000000000001E-2"/>
          <c:min val="-5.000000000000001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Yield</a:t>
                </a:r>
              </a:p>
            </c:rich>
          </c:tx>
          <c:layout>
            <c:manualLayout>
              <c:xMode val="edge"/>
              <c:yMode val="edge"/>
              <c:x val="0.41893394575678033"/>
              <c:y val="0.93419466135628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9903"/>
        <c:crosses val="autoZero"/>
        <c:crossBetween val="midCat"/>
        <c:majorUnit val="1.0000000000000002E-2"/>
      </c:valAx>
      <c:valAx>
        <c:axId val="59019903"/>
        <c:scaling>
          <c:orientation val="minMax"/>
          <c:max val="0.12000000000000001"/>
          <c:min val="-0.12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CHange in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8271"/>
        <c:crosses val="autoZero"/>
        <c:crossBetween val="midCat"/>
        <c:majorUnit val="4.0000000000000008E-2"/>
      </c:valAx>
      <c:spPr>
        <a:noFill/>
        <a:ln>
          <a:noFill/>
        </a:ln>
        <a:effectLst/>
      </c:spPr>
    </c:plotArea>
    <c:legend>
      <c:legendPos val="t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278424</xdr:colOff>
      <xdr:row>38</xdr:row>
      <xdr:rowOff>171937</xdr:rowOff>
    </xdr:from>
    <xdr:to>
      <xdr:col>9</xdr:col>
      <xdr:colOff>698500</xdr:colOff>
      <xdr:row>56</xdr:row>
      <xdr:rowOff>185614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846217-826C-BE42-9B62-16482C0BA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Roll" id="{8AB10D07-4C0B-A848-84AE-770E68C9D8A3}" userId="9e328bbf48be10c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" dT="2020-12-23T16:10:05.97" personId="{8AB10D07-4C0B-A848-84AE-770E68C9D8A3}" id="{F4E70547-7FE2-D940-8AE8-839335E5A68A}">
    <text>Liability is to be paid in 5 years.</text>
  </threadedComment>
</ThreadedComment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AD36-AA3F-3541-BB0E-6965D6925DAC}">
  <dimension ref="A1:BM184"/>
  <sheetViews>
    <sheetView zoomScale="130" zoomScaleNormal="130" workbookViewId="0"/>
  </sheetViews>
  <sheetFormatPr baseColWidth="10" defaultRowHeight="16" x14ac:dyDescent="0.2"/>
  <cols>
    <col min="1" max="16384" width="10.83203125" style="1"/>
  </cols>
  <sheetData>
    <row r="1" spans="1:10" ht="19" x14ac:dyDescent="0.25">
      <c r="A1" s="35" t="s">
        <v>42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41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32" t="s">
        <v>40</v>
      </c>
      <c r="E5" s="34">
        <v>2</v>
      </c>
      <c r="F5" s="29"/>
      <c r="G5" s="29"/>
      <c r="H5" s="29"/>
      <c r="I5" s="29"/>
      <c r="J5" s="28"/>
    </row>
    <row r="6" spans="1:10" x14ac:dyDescent="0.2">
      <c r="A6" s="30"/>
      <c r="B6" s="29"/>
      <c r="C6" s="29"/>
      <c r="D6" s="32" t="s">
        <v>39</v>
      </c>
      <c r="E6" s="33">
        <v>1000</v>
      </c>
      <c r="F6" s="29"/>
      <c r="G6" s="29"/>
      <c r="H6" s="29"/>
      <c r="I6" s="29"/>
      <c r="J6" s="28"/>
    </row>
    <row r="7" spans="1:10" x14ac:dyDescent="0.2">
      <c r="A7" s="30"/>
      <c r="B7" s="29"/>
      <c r="C7" s="29"/>
      <c r="D7" s="32" t="s">
        <v>38</v>
      </c>
      <c r="E7" s="31">
        <v>0.08</v>
      </c>
      <c r="F7" s="29"/>
      <c r="G7" s="29"/>
      <c r="H7" s="29"/>
      <c r="I7" s="29"/>
      <c r="J7" s="28"/>
    </row>
    <row r="8" spans="1:10" x14ac:dyDescent="0.2">
      <c r="A8" s="30"/>
      <c r="B8" s="29"/>
      <c r="C8" s="29"/>
      <c r="D8" s="32" t="s">
        <v>37</v>
      </c>
      <c r="E8" s="31">
        <v>0.06</v>
      </c>
      <c r="F8" s="29"/>
      <c r="G8" s="29"/>
      <c r="H8" s="29"/>
      <c r="I8" s="29"/>
      <c r="J8" s="28"/>
    </row>
    <row r="9" spans="1:10" x14ac:dyDescent="0.2">
      <c r="A9" s="30"/>
      <c r="B9" s="29"/>
      <c r="C9" s="29"/>
      <c r="D9" s="32" t="s">
        <v>36</v>
      </c>
      <c r="E9" s="31">
        <v>0.04</v>
      </c>
      <c r="F9" s="29"/>
      <c r="G9" s="29"/>
      <c r="H9" s="29"/>
      <c r="I9" s="29"/>
      <c r="J9" s="28"/>
    </row>
    <row r="10" spans="1:10" x14ac:dyDescent="0.2">
      <c r="A10" s="30"/>
      <c r="B10" s="29"/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 t="s">
        <v>35</v>
      </c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34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 t="s">
        <v>33</v>
      </c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29"/>
      <c r="J15" s="28"/>
    </row>
    <row r="16" spans="1:10" x14ac:dyDescent="0.2">
      <c r="A16" s="30"/>
      <c r="B16" s="29" t="s">
        <v>32</v>
      </c>
      <c r="C16" s="29"/>
      <c r="D16" s="29"/>
      <c r="E16" s="29"/>
      <c r="F16" s="29"/>
      <c r="G16" s="29"/>
      <c r="H16" s="29"/>
      <c r="I16" s="29"/>
      <c r="J16" s="28"/>
    </row>
    <row r="17" spans="1:13" x14ac:dyDescent="0.2">
      <c r="A17" s="30"/>
      <c r="B17" s="29" t="s">
        <v>31</v>
      </c>
      <c r="C17" s="29"/>
      <c r="D17" s="29"/>
      <c r="E17" s="29"/>
      <c r="F17" s="29"/>
      <c r="G17" s="29"/>
      <c r="H17" s="29"/>
      <c r="I17" s="29"/>
      <c r="J17" s="28"/>
    </row>
    <row r="18" spans="1:13" x14ac:dyDescent="0.2">
      <c r="A18" s="30"/>
      <c r="B18" s="29"/>
      <c r="C18" s="29"/>
      <c r="D18" s="29"/>
      <c r="E18" s="29"/>
      <c r="F18" s="29"/>
      <c r="G18" s="29"/>
      <c r="H18" s="29"/>
      <c r="I18" s="29"/>
      <c r="J18" s="28"/>
    </row>
    <row r="19" spans="1:13" x14ac:dyDescent="0.2">
      <c r="A19" s="30"/>
      <c r="B19" s="29" t="s">
        <v>30</v>
      </c>
      <c r="C19" s="29"/>
      <c r="D19" s="29"/>
      <c r="E19" s="29"/>
      <c r="F19" s="29"/>
      <c r="G19" s="29"/>
      <c r="H19" s="29"/>
      <c r="I19" s="29"/>
      <c r="J19" s="28"/>
    </row>
    <row r="20" spans="1:13" x14ac:dyDescent="0.2">
      <c r="A20" s="30"/>
      <c r="B20" s="29" t="s">
        <v>29</v>
      </c>
      <c r="C20" s="29"/>
      <c r="D20" s="29"/>
      <c r="E20" s="29"/>
      <c r="F20" s="29"/>
      <c r="G20" s="29"/>
      <c r="H20" s="29"/>
      <c r="I20" s="29"/>
      <c r="J20" s="28"/>
    </row>
    <row r="21" spans="1:13" x14ac:dyDescent="0.2">
      <c r="A21" s="30"/>
      <c r="B21" s="29"/>
      <c r="C21" s="29"/>
      <c r="D21" s="29"/>
      <c r="E21" s="29"/>
      <c r="F21" s="29"/>
      <c r="G21" s="29"/>
      <c r="H21" s="29"/>
      <c r="I21" s="29"/>
      <c r="J21" s="28"/>
    </row>
    <row r="22" spans="1:13" x14ac:dyDescent="0.2">
      <c r="A22" s="30"/>
      <c r="B22" s="29" t="s">
        <v>28</v>
      </c>
      <c r="C22" s="29"/>
      <c r="D22" s="29"/>
      <c r="E22" s="29"/>
      <c r="F22" s="29"/>
      <c r="G22" s="29"/>
      <c r="H22" s="29"/>
      <c r="I22" s="29"/>
      <c r="J22" s="28"/>
    </row>
    <row r="23" spans="1:13" x14ac:dyDescent="0.2">
      <c r="A23" s="30"/>
      <c r="B23" s="29" t="s">
        <v>27</v>
      </c>
      <c r="C23" s="29"/>
      <c r="D23" s="29"/>
      <c r="E23" s="29"/>
      <c r="F23" s="29"/>
      <c r="G23" s="29"/>
      <c r="H23" s="29"/>
      <c r="I23" s="29"/>
      <c r="J23" s="28"/>
    </row>
    <row r="24" spans="1:13" x14ac:dyDescent="0.2">
      <c r="A24" s="30"/>
      <c r="B24" s="29" t="s">
        <v>26</v>
      </c>
      <c r="C24" s="29"/>
      <c r="D24" s="29"/>
      <c r="E24" s="29"/>
      <c r="F24" s="29"/>
      <c r="G24" s="29"/>
      <c r="H24" s="29"/>
      <c r="I24" s="29"/>
      <c r="J24" s="28"/>
    </row>
    <row r="25" spans="1:13" ht="17" thickBot="1" x14ac:dyDescent="0.25">
      <c r="A25" s="27"/>
      <c r="B25" s="25"/>
      <c r="C25" s="26"/>
      <c r="D25" s="26"/>
      <c r="E25" s="26"/>
      <c r="F25" s="25"/>
      <c r="G25" s="25"/>
      <c r="H25" s="25"/>
      <c r="I25" s="25"/>
      <c r="J25" s="24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3" ht="19" x14ac:dyDescent="0.25">
      <c r="A27" s="23" t="s">
        <v>25</v>
      </c>
      <c r="B27" s="3"/>
      <c r="C27" s="3"/>
      <c r="D27" s="3"/>
      <c r="E27" s="3"/>
      <c r="F27" s="3"/>
      <c r="G27" s="3"/>
      <c r="H27" s="3"/>
      <c r="I27" s="3"/>
    </row>
    <row r="28" spans="1:13" x14ac:dyDescent="0.2">
      <c r="A28" s="6" t="s">
        <v>24</v>
      </c>
      <c r="B28" s="3"/>
      <c r="C28" s="4"/>
      <c r="D28" s="3"/>
      <c r="E28" s="3"/>
      <c r="F28" s="3"/>
      <c r="G28" s="3"/>
      <c r="H28" s="3"/>
      <c r="I28" s="3"/>
    </row>
    <row r="29" spans="1:13" ht="18" x14ac:dyDescent="0.25">
      <c r="A29" s="3"/>
      <c r="B29" s="20" t="s">
        <v>23</v>
      </c>
      <c r="C29" s="22" t="s">
        <v>22</v>
      </c>
      <c r="D29" s="22" t="s">
        <v>21</v>
      </c>
      <c r="E29" s="22" t="s">
        <v>20</v>
      </c>
      <c r="F29" s="22" t="s">
        <v>19</v>
      </c>
      <c r="G29" s="3"/>
      <c r="H29" s="3"/>
      <c r="I29" s="3"/>
      <c r="J29" s="3"/>
    </row>
    <row r="30" spans="1:13" x14ac:dyDescent="0.2">
      <c r="A30" s="3"/>
      <c r="B30" s="16">
        <v>1</v>
      </c>
      <c r="C30" s="14">
        <f>B30/2</f>
        <v>0.5</v>
      </c>
      <c r="D30" s="15">
        <f>E6*(E7/2)</f>
        <v>40</v>
      </c>
      <c r="E30" s="21">
        <f>D30/((1+E$8/2)^(B30))</f>
        <v>38.834951456310677</v>
      </c>
      <c r="F30" s="21">
        <f>C30*E30</f>
        <v>19.417475728155338</v>
      </c>
      <c r="G30" s="3"/>
      <c r="H30" s="3"/>
      <c r="I30" s="3"/>
      <c r="J30" s="3"/>
      <c r="M30" s="2"/>
    </row>
    <row r="31" spans="1:13" x14ac:dyDescent="0.2">
      <c r="A31" s="3"/>
      <c r="B31" s="16">
        <v>2</v>
      </c>
      <c r="C31" s="14">
        <f>B31/2</f>
        <v>1</v>
      </c>
      <c r="D31" s="15">
        <f>D30</f>
        <v>40</v>
      </c>
      <c r="E31" s="21">
        <f>D31/((1+E$8/2)^(B31))</f>
        <v>37.703836365350178</v>
      </c>
      <c r="F31" s="21">
        <f>C31*E31</f>
        <v>37.703836365350178</v>
      </c>
      <c r="G31" s="3"/>
      <c r="H31" s="3"/>
      <c r="I31" s="3"/>
      <c r="J31" s="3"/>
      <c r="M31" s="2"/>
    </row>
    <row r="32" spans="1:13" x14ac:dyDescent="0.2">
      <c r="A32" s="3"/>
      <c r="B32" s="16">
        <v>3</v>
      </c>
      <c r="C32" s="14">
        <f>B32/2</f>
        <v>1.5</v>
      </c>
      <c r="D32" s="15">
        <f>D31</f>
        <v>40</v>
      </c>
      <c r="E32" s="21">
        <f>D32/((1+E$8/2)^(B32))</f>
        <v>36.605666374126386</v>
      </c>
      <c r="F32" s="21">
        <f>C32*E32</f>
        <v>54.908499561189579</v>
      </c>
      <c r="G32" s="3"/>
      <c r="H32" s="3"/>
      <c r="I32" s="3"/>
      <c r="J32" s="3"/>
      <c r="M32" s="2"/>
    </row>
    <row r="33" spans="1:14" x14ac:dyDescent="0.2">
      <c r="A33" s="3"/>
      <c r="B33" s="20">
        <v>4</v>
      </c>
      <c r="C33" s="19">
        <f>B33/2</f>
        <v>2</v>
      </c>
      <c r="D33" s="18">
        <f>E6+D32</f>
        <v>1040</v>
      </c>
      <c r="E33" s="17">
        <f>D33/((1+E$8/2)^(B33))</f>
        <v>924.02652983231656</v>
      </c>
      <c r="F33" s="17">
        <f>C33*E33</f>
        <v>1848.0530596646331</v>
      </c>
      <c r="G33" s="3"/>
      <c r="H33" s="3"/>
      <c r="I33" s="3"/>
      <c r="J33" s="3"/>
      <c r="M33" s="2"/>
    </row>
    <row r="34" spans="1:14" x14ac:dyDescent="0.2">
      <c r="A34" s="3"/>
      <c r="B34" s="16" t="s">
        <v>18</v>
      </c>
      <c r="C34" s="14"/>
      <c r="D34" s="15">
        <f>SUM(D30:D33)</f>
        <v>1160</v>
      </c>
      <c r="E34" s="14">
        <f>SUM(E30:E33)</f>
        <v>1037.1709840281037</v>
      </c>
      <c r="F34" s="14">
        <f>SUM(F30:F33)</f>
        <v>1960.0828713193282</v>
      </c>
      <c r="G34" s="3"/>
      <c r="H34" s="3"/>
      <c r="I34" s="3"/>
      <c r="J34" s="3"/>
      <c r="M34" s="2"/>
    </row>
    <row r="35" spans="1:14" ht="17" thickBot="1" x14ac:dyDescent="0.25">
      <c r="A35" s="3"/>
      <c r="B35" s="3"/>
      <c r="C35" s="3"/>
      <c r="D35" s="3"/>
      <c r="E35" s="3"/>
      <c r="F35" s="3"/>
      <c r="G35" s="3"/>
      <c r="H35" s="3"/>
      <c r="I35" s="3"/>
      <c r="L35" s="2"/>
    </row>
    <row r="36" spans="1:14" ht="17" thickBot="1" x14ac:dyDescent="0.25">
      <c r="A36" s="3"/>
      <c r="B36" s="8" t="s">
        <v>17</v>
      </c>
      <c r="C36" s="13">
        <f>F34/E34</f>
        <v>1.8898358144448599</v>
      </c>
      <c r="D36" s="3"/>
      <c r="E36" s="3"/>
      <c r="F36" s="3"/>
      <c r="G36" s="3"/>
      <c r="H36" s="3"/>
      <c r="I36" s="3"/>
      <c r="L36" s="2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L37" s="2"/>
    </row>
    <row r="38" spans="1:14" ht="17" thickBot="1" x14ac:dyDescent="0.25">
      <c r="A38" s="6" t="s">
        <v>16</v>
      </c>
      <c r="B38" s="3"/>
      <c r="C38" s="4"/>
      <c r="D38" s="3"/>
      <c r="E38" s="3"/>
      <c r="F38" s="3"/>
      <c r="G38" s="3"/>
      <c r="H38" s="3"/>
      <c r="I38" s="3"/>
    </row>
    <row r="39" spans="1:14" ht="17" thickBot="1" x14ac:dyDescent="0.25">
      <c r="A39" s="3"/>
      <c r="B39" s="8" t="s">
        <v>15</v>
      </c>
      <c r="C39" s="12">
        <f>C36/(1+E8/2)</f>
        <v>1.8347920528590873</v>
      </c>
      <c r="D39" s="3"/>
      <c r="E39" s="3"/>
      <c r="F39" s="3"/>
      <c r="G39" s="3"/>
      <c r="H39" s="3"/>
      <c r="I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14" x14ac:dyDescent="0.2">
      <c r="A41" s="6" t="s">
        <v>14</v>
      </c>
      <c r="B41" s="3"/>
      <c r="C41" s="4"/>
      <c r="D41" s="3"/>
      <c r="E41" s="3"/>
      <c r="F41" s="3"/>
      <c r="G41" s="3"/>
      <c r="H41" s="3"/>
      <c r="I41" s="3"/>
    </row>
    <row r="42" spans="1:14" x14ac:dyDescent="0.2">
      <c r="A42" s="3"/>
      <c r="B42" s="11" t="s">
        <v>13</v>
      </c>
      <c r="C42" s="10" t="s">
        <v>12</v>
      </c>
      <c r="D42" s="3"/>
      <c r="E42" s="3"/>
      <c r="F42" s="3"/>
      <c r="G42" s="3"/>
      <c r="H42" s="3"/>
      <c r="I42" s="3"/>
      <c r="L42" s="3"/>
      <c r="M42" s="4"/>
      <c r="N42" s="3"/>
    </row>
    <row r="43" spans="1:14" x14ac:dyDescent="0.2">
      <c r="A43" s="3"/>
      <c r="B43" s="9" t="s">
        <v>11</v>
      </c>
      <c r="C43" s="3"/>
      <c r="D43" s="3"/>
      <c r="E43" s="3"/>
      <c r="F43" s="3"/>
      <c r="G43" s="3"/>
      <c r="H43" s="3"/>
      <c r="I43" s="3"/>
      <c r="L43" s="2"/>
      <c r="M43" s="2"/>
      <c r="N43" s="2"/>
    </row>
    <row r="44" spans="1:14" ht="17" thickBot="1" x14ac:dyDescent="0.25">
      <c r="A44" s="3"/>
      <c r="B44" s="3"/>
      <c r="C44" s="3"/>
      <c r="D44" s="3"/>
      <c r="E44" s="3"/>
      <c r="F44" s="3"/>
      <c r="G44" s="3"/>
      <c r="H44" s="3"/>
      <c r="I44" s="3"/>
      <c r="L44" s="2"/>
      <c r="M44" s="2"/>
      <c r="N44" s="2"/>
    </row>
    <row r="45" spans="1:14" ht="17" thickBot="1" x14ac:dyDescent="0.25">
      <c r="A45" s="3"/>
      <c r="B45" s="8" t="s">
        <v>10</v>
      </c>
      <c r="C45" s="7">
        <f>-C39*50/100/100*E34</f>
        <v>-9.5149653947540198</v>
      </c>
      <c r="D45" s="3"/>
      <c r="E45" s="3"/>
      <c r="F45" s="3"/>
      <c r="G45" s="3"/>
      <c r="H45" s="3"/>
      <c r="I45" s="3"/>
      <c r="L45" s="2"/>
      <c r="M45" s="2"/>
      <c r="N45" s="2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L46" s="2"/>
      <c r="M46" s="2"/>
      <c r="N46" s="2"/>
    </row>
    <row r="47" spans="1:14" x14ac:dyDescent="0.2">
      <c r="A47" s="3"/>
      <c r="B47" s="3" t="s">
        <v>9</v>
      </c>
      <c r="C47" s="3"/>
      <c r="D47" s="3"/>
      <c r="E47" s="3"/>
      <c r="F47" s="3"/>
      <c r="G47" s="3"/>
      <c r="H47" s="3"/>
      <c r="I47" s="3"/>
      <c r="L47" s="2"/>
      <c r="M47" s="2"/>
      <c r="N47" s="2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L48" s="2"/>
      <c r="M48" s="2"/>
      <c r="N48" s="2"/>
    </row>
    <row r="49" spans="1:14" x14ac:dyDescent="0.2">
      <c r="A49" s="6" t="s">
        <v>8</v>
      </c>
      <c r="B49" s="3"/>
      <c r="C49" s="3"/>
      <c r="D49" s="3"/>
      <c r="E49" s="3"/>
      <c r="F49" s="3"/>
      <c r="G49" s="3"/>
      <c r="H49" s="3"/>
      <c r="I49" s="3"/>
      <c r="L49" s="2"/>
      <c r="M49" s="2"/>
      <c r="N49" s="2"/>
    </row>
    <row r="50" spans="1:14" x14ac:dyDescent="0.2">
      <c r="A50" s="3"/>
      <c r="B50" s="3" t="s">
        <v>7</v>
      </c>
      <c r="C50" s="3"/>
      <c r="D50" s="3"/>
      <c r="E50" s="3"/>
      <c r="F50" s="3"/>
      <c r="G50" s="3"/>
      <c r="H50" s="3"/>
      <c r="I50" s="3"/>
      <c r="L50" s="2"/>
      <c r="M50" s="2"/>
      <c r="N50" s="2"/>
    </row>
    <row r="51" spans="1:14" x14ac:dyDescent="0.2">
      <c r="A51" s="3"/>
      <c r="B51" s="3" t="s">
        <v>6</v>
      </c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L52" s="3"/>
      <c r="M52" s="4"/>
      <c r="N52" s="3"/>
    </row>
    <row r="53" spans="1:14" x14ac:dyDescent="0.2">
      <c r="A53" s="5" t="s">
        <v>5</v>
      </c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 t="s">
        <v>4</v>
      </c>
      <c r="B54" s="3"/>
      <c r="C54" s="3"/>
      <c r="D54" s="3"/>
      <c r="E54" s="3"/>
      <c r="F54" s="3"/>
      <c r="G54" s="3"/>
      <c r="H54" s="3"/>
      <c r="I54" s="3"/>
      <c r="L54" s="2"/>
      <c r="M54" s="2"/>
      <c r="N54" s="2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5" t="s">
        <v>3</v>
      </c>
      <c r="B56" s="3"/>
      <c r="C56" s="3"/>
      <c r="D56" s="3"/>
      <c r="E56" s="3"/>
      <c r="F56" s="3"/>
      <c r="G56" s="3"/>
      <c r="H56" s="3"/>
      <c r="I56" s="3"/>
      <c r="L56" s="2"/>
      <c r="M56" s="2"/>
      <c r="N56" s="2"/>
    </row>
    <row r="57" spans="1:14" x14ac:dyDescent="0.2">
      <c r="A57" s="3" t="s">
        <v>2</v>
      </c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2"/>
      <c r="M58" s="2"/>
      <c r="N58" s="2"/>
    </row>
    <row r="59" spans="1:14" x14ac:dyDescent="0.2">
      <c r="A59" s="5" t="s">
        <v>1</v>
      </c>
      <c r="B59" s="3"/>
      <c r="C59" s="3"/>
      <c r="D59" s="3"/>
      <c r="E59" s="3"/>
      <c r="F59" s="3"/>
      <c r="G59" s="3"/>
      <c r="H59" s="3"/>
      <c r="I59" s="3"/>
      <c r="L59" s="2"/>
      <c r="M59" s="2"/>
      <c r="N59" s="2"/>
    </row>
    <row r="60" spans="1:14" x14ac:dyDescent="0.2">
      <c r="A60" s="3" t="s">
        <v>0</v>
      </c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3"/>
      <c r="M62" s="4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L68" s="2"/>
      <c r="M68" s="2"/>
      <c r="N68" s="2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L69" s="2"/>
      <c r="M69" s="2"/>
      <c r="N69" s="2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L72" s="3"/>
      <c r="M72" s="4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2"/>
      <c r="M79" s="2"/>
      <c r="N79" s="2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2"/>
      <c r="M80" s="2"/>
      <c r="N80" s="2"/>
    </row>
    <row r="81" spans="1:65" x14ac:dyDescent="0.2">
      <c r="A81" s="3"/>
      <c r="B81" s="3"/>
      <c r="C81" s="3"/>
      <c r="D81" s="3"/>
      <c r="E81" s="3"/>
      <c r="F81" s="3"/>
      <c r="G81" s="3"/>
      <c r="H81" s="3"/>
      <c r="I81" s="3"/>
      <c r="L81" s="2"/>
      <c r="M81" s="2"/>
      <c r="N81" s="2"/>
    </row>
    <row r="82" spans="1:65" x14ac:dyDescent="0.2">
      <c r="A82" s="3"/>
      <c r="B82" s="3"/>
      <c r="C82" s="3"/>
      <c r="D82" s="3"/>
      <c r="E82" s="3"/>
      <c r="F82" s="3"/>
      <c r="G82" s="3"/>
      <c r="H82" s="3"/>
      <c r="I82" s="3"/>
      <c r="L82" s="3"/>
      <c r="M82" s="4"/>
      <c r="N82" s="3"/>
    </row>
    <row r="83" spans="1:6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8C9E-3FF0-5D4C-A7EF-11EF3738A48B}">
  <dimension ref="A1:BM169"/>
  <sheetViews>
    <sheetView zoomScale="130" zoomScaleNormal="130" workbookViewId="0"/>
  </sheetViews>
  <sheetFormatPr baseColWidth="10" defaultRowHeight="16" x14ac:dyDescent="0.2"/>
  <cols>
    <col min="1" max="1" width="10.83203125" style="1"/>
    <col min="2" max="2" width="11.6640625" style="1" customWidth="1"/>
    <col min="3" max="16384" width="10.83203125" style="1"/>
  </cols>
  <sheetData>
    <row r="1" spans="1:10" ht="19" x14ac:dyDescent="0.25">
      <c r="A1" s="35" t="s">
        <v>231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230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 t="s">
        <v>229</v>
      </c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29"/>
      <c r="E5" s="29"/>
      <c r="F5" s="29"/>
      <c r="G5" s="29"/>
      <c r="H5" s="29"/>
      <c r="I5" s="29"/>
      <c r="J5" s="28"/>
    </row>
    <row r="6" spans="1:10" x14ac:dyDescent="0.2">
      <c r="A6" s="30"/>
      <c r="B6" s="29" t="s">
        <v>34</v>
      </c>
      <c r="C6" s="29"/>
      <c r="D6" s="29"/>
      <c r="E6" s="29"/>
      <c r="F6" s="29"/>
      <c r="G6" s="29"/>
      <c r="H6" s="29"/>
      <c r="I6" s="29"/>
      <c r="J6" s="28"/>
    </row>
    <row r="7" spans="1:10" x14ac:dyDescent="0.2">
      <c r="A7" s="30"/>
      <c r="B7" s="29" t="s">
        <v>228</v>
      </c>
      <c r="C7" s="29"/>
      <c r="D7" s="29"/>
      <c r="E7" s="29"/>
      <c r="F7" s="29"/>
      <c r="G7" s="29"/>
      <c r="H7" s="29"/>
      <c r="I7" s="29"/>
      <c r="J7" s="28"/>
    </row>
    <row r="8" spans="1:10" x14ac:dyDescent="0.2">
      <c r="A8" s="30"/>
      <c r="B8" s="29"/>
      <c r="C8" s="29"/>
      <c r="D8" s="29"/>
      <c r="E8" s="29"/>
      <c r="F8" s="29"/>
      <c r="G8" s="29"/>
      <c r="H8" s="29"/>
      <c r="I8" s="29"/>
      <c r="J8" s="28"/>
    </row>
    <row r="9" spans="1:10" x14ac:dyDescent="0.2">
      <c r="A9" s="30"/>
      <c r="B9" s="29" t="s">
        <v>32</v>
      </c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 t="s">
        <v>227</v>
      </c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 t="s">
        <v>226</v>
      </c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30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 t="s">
        <v>225</v>
      </c>
      <c r="C14" s="29"/>
      <c r="D14" s="29"/>
      <c r="E14" s="29"/>
      <c r="F14" s="29"/>
      <c r="G14" s="29"/>
      <c r="H14" s="29"/>
      <c r="I14" s="29"/>
      <c r="J14" s="28"/>
    </row>
    <row r="15" spans="1:10" ht="17" thickBot="1" x14ac:dyDescent="0.25">
      <c r="A15" s="27"/>
      <c r="B15" s="25"/>
      <c r="C15" s="26"/>
      <c r="D15" s="26"/>
      <c r="E15" s="26"/>
      <c r="F15" s="25"/>
      <c r="G15" s="25"/>
      <c r="H15" s="25"/>
      <c r="I15" s="25"/>
      <c r="J15" s="24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12" ht="19" x14ac:dyDescent="0.25">
      <c r="A17" s="23" t="s">
        <v>25</v>
      </c>
      <c r="B17" s="3"/>
      <c r="C17" s="3"/>
      <c r="D17" s="3"/>
      <c r="E17" s="3"/>
      <c r="F17" s="3"/>
      <c r="G17" s="3"/>
      <c r="H17" s="3"/>
      <c r="I17" s="3"/>
    </row>
    <row r="18" spans="1:12" x14ac:dyDescent="0.2">
      <c r="A18" s="6" t="s">
        <v>24</v>
      </c>
      <c r="B18" s="3"/>
      <c r="C18" s="4"/>
      <c r="D18" s="3"/>
      <c r="E18" s="3"/>
      <c r="F18" s="3"/>
      <c r="G18" s="3"/>
      <c r="H18" s="3"/>
      <c r="I18" s="3"/>
    </row>
    <row r="19" spans="1:12" x14ac:dyDescent="0.2">
      <c r="A19" s="3"/>
      <c r="B19" s="3" t="s">
        <v>224</v>
      </c>
      <c r="C19" s="3"/>
      <c r="D19" s="3"/>
      <c r="E19" s="3"/>
      <c r="F19" s="3"/>
      <c r="G19" s="3"/>
      <c r="H19" s="3"/>
      <c r="I19" s="3"/>
    </row>
    <row r="20" spans="1:12" x14ac:dyDescent="0.2">
      <c r="A20" s="3"/>
      <c r="B20" s="3" t="s">
        <v>223</v>
      </c>
      <c r="C20" s="3"/>
      <c r="D20" s="3"/>
      <c r="E20" s="3"/>
      <c r="F20" s="3"/>
      <c r="G20" s="3"/>
      <c r="H20" s="3"/>
      <c r="I20" s="3"/>
      <c r="L20" s="2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  <c r="L21" s="2"/>
    </row>
    <row r="22" spans="1:12" x14ac:dyDescent="0.2">
      <c r="A22" s="6" t="s">
        <v>16</v>
      </c>
      <c r="B22" s="3"/>
      <c r="C22" s="4"/>
      <c r="D22" s="3"/>
      <c r="E22" s="3"/>
      <c r="F22" s="3"/>
      <c r="G22" s="3"/>
      <c r="H22" s="3"/>
    </row>
    <row r="23" spans="1:12" x14ac:dyDescent="0.2">
      <c r="A23" s="6"/>
      <c r="B23" s="3"/>
      <c r="C23" s="4"/>
      <c r="D23" s="3"/>
      <c r="E23" s="3"/>
      <c r="F23" s="3"/>
      <c r="G23" s="3"/>
      <c r="H23" s="3"/>
    </row>
    <row r="24" spans="1:12" x14ac:dyDescent="0.2">
      <c r="A24" s="6"/>
      <c r="B24" s="3" t="s">
        <v>254</v>
      </c>
      <c r="C24" s="4"/>
      <c r="D24" s="3"/>
      <c r="E24" s="3"/>
      <c r="F24" s="3"/>
      <c r="G24" s="3"/>
      <c r="H24" s="3"/>
    </row>
    <row r="25" spans="1:12" x14ac:dyDescent="0.2">
      <c r="A25" s="6"/>
      <c r="B25" s="3"/>
      <c r="C25" s="4"/>
      <c r="D25" s="3"/>
      <c r="E25" s="3"/>
      <c r="F25" s="3"/>
      <c r="G25" s="3"/>
      <c r="H25" s="3"/>
    </row>
    <row r="26" spans="1:12" x14ac:dyDescent="0.2">
      <c r="A26" s="3"/>
      <c r="B26" s="3" t="s">
        <v>252</v>
      </c>
      <c r="C26" s="58">
        <f>D40</f>
        <v>7.4999999999999997E-2</v>
      </c>
      <c r="F26" s="3"/>
      <c r="G26" s="3"/>
      <c r="H26" s="3"/>
    </row>
    <row r="27" spans="1:12" x14ac:dyDescent="0.2">
      <c r="A27" s="3"/>
      <c r="B27" s="3" t="s">
        <v>253</v>
      </c>
      <c r="C27" s="14">
        <f>C26*1000</f>
        <v>75</v>
      </c>
      <c r="F27" s="3"/>
      <c r="G27" s="3"/>
      <c r="H27" s="3"/>
    </row>
    <row r="28" spans="1:12" x14ac:dyDescent="0.2">
      <c r="A28" s="3"/>
      <c r="B28" s="3" t="s">
        <v>201</v>
      </c>
      <c r="C28" s="58">
        <v>0.06</v>
      </c>
      <c r="F28" s="3"/>
      <c r="G28" s="3"/>
      <c r="H28" s="3"/>
    </row>
    <row r="29" spans="1:12" x14ac:dyDescent="0.2">
      <c r="A29" s="3"/>
      <c r="F29" s="3"/>
      <c r="G29" s="3"/>
      <c r="H29" s="3"/>
    </row>
    <row r="30" spans="1:12" ht="20" x14ac:dyDescent="0.25">
      <c r="A30" s="3"/>
      <c r="B30" s="20" t="s">
        <v>49</v>
      </c>
      <c r="C30" s="22" t="s">
        <v>21</v>
      </c>
      <c r="D30" s="22" t="s">
        <v>20</v>
      </c>
      <c r="E30" s="22" t="s">
        <v>19</v>
      </c>
      <c r="F30" s="46" t="s">
        <v>48</v>
      </c>
      <c r="G30" s="46"/>
      <c r="H30" s="3"/>
    </row>
    <row r="31" spans="1:12" x14ac:dyDescent="0.2">
      <c r="A31" s="3"/>
      <c r="B31" s="16">
        <v>1</v>
      </c>
      <c r="C31" s="15">
        <f>$C$27</f>
        <v>75</v>
      </c>
      <c r="D31" s="14">
        <f>C31/((1+C$28)^(B31))</f>
        <v>70.754716981132077</v>
      </c>
      <c r="E31" s="14">
        <f>B31*D31</f>
        <v>70.754716981132077</v>
      </c>
      <c r="F31" s="42">
        <f>D31*(B31^2+B31/1)</f>
        <v>141.50943396226415</v>
      </c>
      <c r="G31" s="51"/>
      <c r="H31" s="3"/>
    </row>
    <row r="32" spans="1:12" x14ac:dyDescent="0.2">
      <c r="A32" s="3"/>
      <c r="B32" s="16">
        <v>2</v>
      </c>
      <c r="C32" s="15">
        <f>C31</f>
        <v>75</v>
      </c>
      <c r="D32" s="14">
        <f>C32/((1+C$28)^(B32))</f>
        <v>66.74973300106798</v>
      </c>
      <c r="E32" s="14">
        <f>B32*D32</f>
        <v>133.49946600213596</v>
      </c>
      <c r="F32" s="42">
        <f>D32*(B32^2+B32/1)</f>
        <v>400.49839800640791</v>
      </c>
      <c r="G32" s="51"/>
      <c r="H32" s="3"/>
    </row>
    <row r="33" spans="1:14" x14ac:dyDescent="0.2">
      <c r="A33" s="3"/>
      <c r="B33" s="20">
        <v>3</v>
      </c>
      <c r="C33" s="45">
        <f>1000*(1+$C$26)</f>
        <v>1075</v>
      </c>
      <c r="D33" s="19">
        <f>C33/((1+C$28)^(B33))</f>
        <v>902.5907292597243</v>
      </c>
      <c r="E33" s="19">
        <f>B33*D33</f>
        <v>2707.7721877791728</v>
      </c>
      <c r="F33" s="44">
        <f>D33*(B33^2+B33/1)</f>
        <v>10831.088751116691</v>
      </c>
      <c r="G33" s="46"/>
      <c r="H33" s="3"/>
    </row>
    <row r="34" spans="1:14" x14ac:dyDescent="0.2">
      <c r="A34" s="3"/>
      <c r="B34" s="16" t="s">
        <v>18</v>
      </c>
      <c r="C34" s="15">
        <f>SUM(C31:C33)</f>
        <v>1225</v>
      </c>
      <c r="D34" s="14">
        <f>SUM(D31:D33)</f>
        <v>1040.0951792419244</v>
      </c>
      <c r="E34" s="14">
        <f>SUM(E31:E33)</f>
        <v>2912.0263707624408</v>
      </c>
      <c r="F34" s="42">
        <f>SUM(F31:F33)</f>
        <v>11373.096583085364</v>
      </c>
      <c r="G34" s="51"/>
      <c r="H34" s="3"/>
    </row>
    <row r="35" spans="1:14" x14ac:dyDescent="0.2">
      <c r="A35" s="3"/>
      <c r="B35" s="3"/>
      <c r="F35" s="3"/>
      <c r="G35" s="3"/>
      <c r="H35" s="3"/>
      <c r="I35" s="3"/>
      <c r="J35" s="40"/>
      <c r="K35" s="39"/>
      <c r="L35" s="3"/>
    </row>
    <row r="36" spans="1:14" x14ac:dyDescent="0.2">
      <c r="A36" s="6"/>
      <c r="B36" s="3"/>
      <c r="C36" s="135" t="s">
        <v>17</v>
      </c>
      <c r="D36" s="136">
        <f>E34/D34</f>
        <v>2.7997691258264243</v>
      </c>
      <c r="E36" s="4"/>
      <c r="F36" s="3"/>
      <c r="G36" s="3"/>
      <c r="H36" s="3"/>
      <c r="I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L37" s="2"/>
      <c r="M37" s="4"/>
      <c r="N37" s="3"/>
    </row>
    <row r="38" spans="1:14" x14ac:dyDescent="0.2">
      <c r="A38" s="3"/>
      <c r="B38" s="3" t="s">
        <v>222</v>
      </c>
      <c r="C38" s="3"/>
      <c r="D38" s="3"/>
      <c r="E38" s="3"/>
      <c r="F38" s="3"/>
      <c r="G38" s="3"/>
      <c r="H38" s="3"/>
      <c r="I38" s="3"/>
      <c r="L38" s="2"/>
      <c r="M38" s="2"/>
      <c r="N38" s="2"/>
    </row>
    <row r="39" spans="1:14" ht="17" thickBot="1" x14ac:dyDescent="0.25">
      <c r="A39" s="3"/>
      <c r="B39" s="3"/>
      <c r="C39" s="3"/>
      <c r="D39" s="3"/>
      <c r="E39" s="3"/>
      <c r="F39" s="3"/>
      <c r="G39" s="3"/>
      <c r="H39" s="3"/>
      <c r="I39" s="3"/>
      <c r="L39" s="2"/>
      <c r="M39" s="2"/>
      <c r="N39" s="2"/>
    </row>
    <row r="40" spans="1:14" ht="17" thickBot="1" x14ac:dyDescent="0.25">
      <c r="A40" s="3"/>
      <c r="B40" s="104"/>
      <c r="C40" s="37" t="s">
        <v>221</v>
      </c>
      <c r="D40" s="134">
        <v>7.4999999999999997E-2</v>
      </c>
      <c r="E40" s="3"/>
      <c r="F40" s="3"/>
      <c r="G40" s="3"/>
      <c r="H40" s="3"/>
      <c r="I40" s="3"/>
      <c r="L40" s="2"/>
      <c r="M40" s="2"/>
      <c r="N40" s="2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L41" s="2"/>
      <c r="M41" s="2"/>
      <c r="N41" s="2"/>
    </row>
    <row r="42" spans="1:14" x14ac:dyDescent="0.2">
      <c r="A42" s="6" t="s">
        <v>14</v>
      </c>
      <c r="B42" s="3"/>
      <c r="C42" s="3"/>
      <c r="D42" s="3"/>
      <c r="E42" s="3"/>
      <c r="F42" s="3"/>
      <c r="G42" s="3"/>
      <c r="H42" s="3"/>
      <c r="I42" s="3"/>
      <c r="L42" s="3"/>
      <c r="M42" s="2"/>
      <c r="N42" s="2"/>
    </row>
    <row r="43" spans="1:14" x14ac:dyDescent="0.2">
      <c r="A43" s="3"/>
      <c r="B43" s="3" t="s">
        <v>255</v>
      </c>
      <c r="C43" s="3"/>
      <c r="D43" s="3"/>
      <c r="E43" s="3"/>
      <c r="F43" s="3"/>
      <c r="G43" s="3"/>
      <c r="H43" s="3"/>
      <c r="K43" s="2"/>
      <c r="L43" s="2"/>
      <c r="M43" s="2"/>
      <c r="N43" s="2"/>
    </row>
    <row r="44" spans="1:14" x14ac:dyDescent="0.2">
      <c r="A44" s="3"/>
      <c r="B44" s="3"/>
      <c r="C44" s="3"/>
      <c r="D44" s="3"/>
      <c r="E44" s="3"/>
      <c r="F44" s="3"/>
      <c r="G44" s="3"/>
      <c r="H44" s="3"/>
      <c r="K44" s="2"/>
      <c r="L44" s="2"/>
      <c r="M44" s="4"/>
      <c r="N44" s="3"/>
    </row>
    <row r="45" spans="1:14" ht="17" thickBot="1" x14ac:dyDescent="0.25">
      <c r="A45" s="3"/>
      <c r="B45" s="3"/>
      <c r="C45" s="3"/>
      <c r="D45" s="3"/>
      <c r="E45" s="3"/>
      <c r="F45" s="3"/>
      <c r="G45" s="3"/>
      <c r="H45" s="3"/>
      <c r="I45" s="3"/>
      <c r="L45" s="2"/>
      <c r="M45" s="2"/>
      <c r="N45" s="2"/>
    </row>
    <row r="46" spans="1:14" ht="17" thickBot="1" x14ac:dyDescent="0.25">
      <c r="A46" s="3"/>
      <c r="B46" s="8" t="s">
        <v>46</v>
      </c>
      <c r="C46" s="13">
        <f>F34/((D34*(1+$C$28)^2))</f>
        <v>9.7318165422721616</v>
      </c>
      <c r="D46" s="3"/>
      <c r="E46" s="3"/>
      <c r="F46" s="3"/>
      <c r="G46" s="3"/>
      <c r="H46" s="3"/>
      <c r="I46" s="3"/>
      <c r="L46" s="2"/>
      <c r="M46" s="4"/>
      <c r="N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L47" s="2"/>
      <c r="M47" s="2"/>
      <c r="N47" s="2"/>
    </row>
    <row r="48" spans="1:14" x14ac:dyDescent="0.2">
      <c r="A48" s="5" t="s">
        <v>1</v>
      </c>
      <c r="B48" s="3"/>
      <c r="C48" s="3"/>
      <c r="D48" s="3"/>
      <c r="E48" s="3"/>
      <c r="F48" s="3"/>
      <c r="G48" s="3"/>
      <c r="H48" s="3"/>
      <c r="I48" s="3"/>
      <c r="L48" s="2"/>
      <c r="M48" s="2"/>
      <c r="N48" s="2"/>
    </row>
    <row r="49" spans="1:14" x14ac:dyDescent="0.2">
      <c r="A49" s="3" t="s">
        <v>43</v>
      </c>
      <c r="B49" s="3"/>
      <c r="C49" s="3"/>
      <c r="D49" s="3"/>
      <c r="E49" s="3"/>
      <c r="F49" s="3"/>
      <c r="G49" s="3"/>
      <c r="H49" s="3"/>
      <c r="I49" s="3"/>
      <c r="L49" s="2"/>
      <c r="M49" s="2"/>
      <c r="N49" s="2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L50" s="2"/>
      <c r="M50" s="2"/>
      <c r="N50" s="2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L52" s="2"/>
      <c r="M52" s="2"/>
      <c r="N52" s="2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L54" s="3"/>
      <c r="M54" s="2"/>
      <c r="N54" s="2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L56" s="2"/>
      <c r="M56" s="4"/>
      <c r="N56" s="3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2"/>
      <c r="M58" s="2"/>
      <c r="N58" s="2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L59" s="2"/>
      <c r="M59" s="2"/>
      <c r="N59" s="2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3"/>
      <c r="M64" s="2"/>
      <c r="N64" s="2"/>
    </row>
    <row r="65" spans="1:65" x14ac:dyDescent="0.2">
      <c r="A65" s="3"/>
      <c r="B65" s="3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</row>
    <row r="66" spans="1:65" x14ac:dyDescent="0.2">
      <c r="A66" s="3"/>
      <c r="B66" s="3"/>
      <c r="C66" s="3"/>
      <c r="D66" s="3"/>
      <c r="E66" s="3"/>
      <c r="F66" s="3"/>
      <c r="G66" s="3"/>
      <c r="H66" s="3"/>
      <c r="I66" s="2"/>
      <c r="J66" s="2"/>
      <c r="K66" s="2"/>
      <c r="L66" s="2"/>
      <c r="M66" s="4"/>
      <c r="N66" s="3"/>
    </row>
    <row r="67" spans="1:65" x14ac:dyDescent="0.2">
      <c r="A67" s="2"/>
      <c r="B67" s="3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B169" s="2"/>
      <c r="C169" s="2"/>
      <c r="D169" s="2"/>
      <c r="E169" s="2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3D64-74C1-B84E-AF51-E931F85F4328}">
  <dimension ref="A1:BM191"/>
  <sheetViews>
    <sheetView zoomScale="130" zoomScaleNormal="130" workbookViewId="0">
      <selection activeCell="C36" sqref="C36:D38"/>
    </sheetView>
  </sheetViews>
  <sheetFormatPr baseColWidth="10" defaultRowHeight="16" x14ac:dyDescent="0.2"/>
  <cols>
    <col min="1" max="16384" width="10.83203125" style="1"/>
  </cols>
  <sheetData>
    <row r="1" spans="1:10" ht="19" x14ac:dyDescent="0.25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x14ac:dyDescent="0.2">
      <c r="A2" s="30"/>
      <c r="B2" s="108"/>
      <c r="C2" s="108"/>
      <c r="D2" s="108"/>
      <c r="E2" s="108"/>
      <c r="F2" s="108"/>
      <c r="G2" s="108"/>
      <c r="H2" s="108"/>
      <c r="I2" s="108"/>
      <c r="J2" s="28"/>
    </row>
    <row r="3" spans="1:10" x14ac:dyDescent="0.2">
      <c r="A3" s="30"/>
      <c r="B3" s="108" t="s">
        <v>57</v>
      </c>
      <c r="C3" s="108"/>
      <c r="D3" s="108"/>
      <c r="E3" s="108"/>
      <c r="F3" s="108"/>
      <c r="G3" s="108"/>
      <c r="H3" s="108"/>
      <c r="I3" s="108"/>
      <c r="J3" s="28"/>
    </row>
    <row r="4" spans="1:10" x14ac:dyDescent="0.2">
      <c r="A4" s="30"/>
      <c r="B4" s="108"/>
      <c r="C4" s="108"/>
      <c r="D4" s="108"/>
      <c r="E4" s="108"/>
      <c r="F4" s="108"/>
      <c r="G4" s="108"/>
      <c r="H4" s="108"/>
      <c r="I4" s="108"/>
      <c r="J4" s="28"/>
    </row>
    <row r="5" spans="1:10" x14ac:dyDescent="0.2">
      <c r="A5" s="30"/>
      <c r="B5" s="108"/>
      <c r="C5" s="108"/>
      <c r="D5" s="109" t="s">
        <v>39</v>
      </c>
      <c r="E5" s="110">
        <v>1000</v>
      </c>
      <c r="F5" s="108"/>
      <c r="G5" s="108"/>
      <c r="H5" s="108"/>
      <c r="I5" s="108"/>
      <c r="J5" s="28"/>
    </row>
    <row r="6" spans="1:10" x14ac:dyDescent="0.2">
      <c r="A6" s="30"/>
      <c r="B6" s="108"/>
      <c r="C6" s="108"/>
      <c r="D6" s="109" t="s">
        <v>38</v>
      </c>
      <c r="E6" s="111">
        <v>0.05</v>
      </c>
      <c r="F6" s="108"/>
      <c r="G6" s="108"/>
      <c r="H6" s="108"/>
      <c r="I6" s="108"/>
      <c r="J6" s="28"/>
    </row>
    <row r="7" spans="1:10" x14ac:dyDescent="0.2">
      <c r="A7" s="30"/>
      <c r="B7" s="108"/>
      <c r="C7" s="108"/>
      <c r="D7" s="109" t="s">
        <v>56</v>
      </c>
      <c r="E7" s="111">
        <v>0.06</v>
      </c>
      <c r="F7" s="108"/>
      <c r="G7" s="108"/>
      <c r="H7" s="108"/>
      <c r="I7" s="108"/>
      <c r="J7" s="28"/>
    </row>
    <row r="8" spans="1:10" x14ac:dyDescent="0.2">
      <c r="A8" s="30"/>
      <c r="B8" s="108"/>
      <c r="C8" s="108"/>
      <c r="D8" s="108"/>
      <c r="E8" s="108"/>
      <c r="F8" s="108"/>
      <c r="G8" s="108"/>
      <c r="H8" s="108"/>
      <c r="I8" s="108"/>
      <c r="J8" s="28"/>
    </row>
    <row r="9" spans="1:10" x14ac:dyDescent="0.2">
      <c r="A9" s="30"/>
      <c r="B9" s="108" t="s">
        <v>55</v>
      </c>
      <c r="C9" s="108"/>
      <c r="D9" s="108"/>
      <c r="E9" s="108"/>
      <c r="F9" s="108"/>
      <c r="G9" s="108"/>
      <c r="H9" s="108"/>
      <c r="I9" s="108"/>
      <c r="J9" s="28"/>
    </row>
    <row r="10" spans="1:10" x14ac:dyDescent="0.2">
      <c r="A10" s="30"/>
      <c r="B10" s="108"/>
      <c r="C10" s="108"/>
      <c r="D10" s="108"/>
      <c r="E10" s="108"/>
      <c r="F10" s="108"/>
      <c r="G10" s="108"/>
      <c r="H10" s="108"/>
      <c r="I10" s="108"/>
      <c r="J10" s="28"/>
    </row>
    <row r="11" spans="1:10" x14ac:dyDescent="0.2">
      <c r="A11" s="30"/>
      <c r="B11" s="108"/>
      <c r="C11" s="108"/>
      <c r="D11" s="108"/>
      <c r="E11" s="108"/>
      <c r="F11" s="108"/>
      <c r="G11" s="108"/>
      <c r="H11" s="108"/>
      <c r="I11" s="108"/>
      <c r="J11" s="28"/>
    </row>
    <row r="12" spans="1:10" x14ac:dyDescent="0.2">
      <c r="A12" s="30"/>
      <c r="B12" s="108" t="s">
        <v>34</v>
      </c>
      <c r="C12" s="108"/>
      <c r="D12" s="108"/>
      <c r="E12" s="108"/>
      <c r="F12" s="108"/>
      <c r="G12" s="108"/>
      <c r="H12" s="108"/>
      <c r="I12" s="108"/>
      <c r="J12" s="28"/>
    </row>
    <row r="13" spans="1:10" x14ac:dyDescent="0.2">
      <c r="A13" s="30"/>
      <c r="B13" s="108" t="s">
        <v>54</v>
      </c>
      <c r="C13" s="108"/>
      <c r="D13" s="108"/>
      <c r="E13" s="108"/>
      <c r="F13" s="108"/>
      <c r="G13" s="108"/>
      <c r="H13" s="108"/>
      <c r="I13" s="108"/>
      <c r="J13" s="28"/>
    </row>
    <row r="14" spans="1:10" x14ac:dyDescent="0.2">
      <c r="A14" s="30"/>
      <c r="B14" s="108"/>
      <c r="C14" s="108"/>
      <c r="D14" s="108"/>
      <c r="E14" s="108"/>
      <c r="F14" s="108"/>
      <c r="G14" s="108"/>
      <c r="H14" s="108"/>
      <c r="I14" s="108"/>
      <c r="J14" s="28"/>
    </row>
    <row r="15" spans="1:10" x14ac:dyDescent="0.2">
      <c r="A15" s="30"/>
      <c r="B15" s="108" t="s">
        <v>32</v>
      </c>
      <c r="C15" s="108"/>
      <c r="D15" s="108"/>
      <c r="E15" s="108"/>
      <c r="F15" s="108"/>
      <c r="G15" s="108"/>
      <c r="H15" s="108"/>
      <c r="I15" s="108"/>
      <c r="J15" s="28"/>
    </row>
    <row r="16" spans="1:10" x14ac:dyDescent="0.2">
      <c r="A16" s="30"/>
      <c r="B16" s="108" t="s">
        <v>53</v>
      </c>
      <c r="C16" s="108"/>
      <c r="D16" s="108"/>
      <c r="E16" s="108"/>
      <c r="F16" s="108"/>
      <c r="G16" s="108"/>
      <c r="H16" s="108"/>
      <c r="I16" s="108"/>
      <c r="J16" s="28"/>
    </row>
    <row r="17" spans="1:12" x14ac:dyDescent="0.2">
      <c r="A17" s="30"/>
      <c r="B17" s="108"/>
      <c r="C17" s="108"/>
      <c r="D17" s="108"/>
      <c r="E17" s="108"/>
      <c r="F17" s="108"/>
      <c r="G17" s="108"/>
      <c r="H17" s="108"/>
      <c r="I17" s="108"/>
      <c r="J17" s="28"/>
    </row>
    <row r="18" spans="1:12" x14ac:dyDescent="0.2">
      <c r="A18" s="30"/>
      <c r="B18" s="108" t="s">
        <v>30</v>
      </c>
      <c r="C18" s="108"/>
      <c r="D18" s="108"/>
      <c r="E18" s="108"/>
      <c r="F18" s="108"/>
      <c r="G18" s="108"/>
      <c r="H18" s="108"/>
      <c r="I18" s="108"/>
      <c r="J18" s="28"/>
    </row>
    <row r="19" spans="1:12" x14ac:dyDescent="0.2">
      <c r="A19" s="30"/>
      <c r="B19" s="108" t="s">
        <v>52</v>
      </c>
      <c r="C19" s="108"/>
      <c r="D19" s="108"/>
      <c r="E19" s="108"/>
      <c r="F19" s="108"/>
      <c r="G19" s="108"/>
      <c r="H19" s="108"/>
      <c r="I19" s="108"/>
      <c r="J19" s="28"/>
    </row>
    <row r="20" spans="1:12" x14ac:dyDescent="0.2">
      <c r="A20" s="30"/>
      <c r="B20" s="108" t="s">
        <v>51</v>
      </c>
      <c r="C20" s="108"/>
      <c r="D20" s="108"/>
      <c r="E20" s="108"/>
      <c r="F20" s="108"/>
      <c r="G20" s="108"/>
      <c r="H20" s="108"/>
      <c r="I20" s="108"/>
      <c r="J20" s="28"/>
    </row>
    <row r="21" spans="1:12" x14ac:dyDescent="0.2">
      <c r="A21" s="30"/>
      <c r="B21" s="108"/>
      <c r="C21" s="108"/>
      <c r="D21" s="108"/>
      <c r="E21" s="108"/>
      <c r="F21" s="108"/>
      <c r="G21" s="108"/>
      <c r="H21" s="108"/>
      <c r="I21" s="108"/>
      <c r="J21" s="28"/>
    </row>
    <row r="22" spans="1:12" x14ac:dyDescent="0.2">
      <c r="A22" s="30"/>
      <c r="B22" s="108" t="s">
        <v>28</v>
      </c>
      <c r="C22" s="108"/>
      <c r="D22" s="108"/>
      <c r="E22" s="108"/>
      <c r="F22" s="108"/>
      <c r="G22" s="108"/>
      <c r="H22" s="108"/>
      <c r="I22" s="108"/>
      <c r="J22" s="28"/>
    </row>
    <row r="23" spans="1:12" x14ac:dyDescent="0.2">
      <c r="A23" s="30"/>
      <c r="B23" s="108" t="s">
        <v>50</v>
      </c>
      <c r="C23" s="108"/>
      <c r="D23" s="108"/>
      <c r="E23" s="108"/>
      <c r="F23" s="108"/>
      <c r="G23" s="108"/>
      <c r="H23" s="108"/>
      <c r="I23" s="108"/>
      <c r="J23" s="28"/>
    </row>
    <row r="24" spans="1:12" ht="17" thickBot="1" x14ac:dyDescent="0.25">
      <c r="A24" s="112"/>
      <c r="B24" s="25"/>
      <c r="C24" s="25"/>
      <c r="D24" s="25"/>
      <c r="E24" s="25"/>
      <c r="F24" s="25"/>
      <c r="G24" s="25"/>
      <c r="H24" s="25"/>
      <c r="I24" s="25"/>
      <c r="J24" s="24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12" ht="19" x14ac:dyDescent="0.25">
      <c r="A26" s="23" t="s">
        <v>25</v>
      </c>
      <c r="B26" s="3"/>
      <c r="C26" s="3"/>
      <c r="D26" s="3"/>
      <c r="E26" s="3"/>
      <c r="F26" s="3"/>
      <c r="G26" s="3"/>
      <c r="H26" s="3"/>
      <c r="I26" s="3"/>
    </row>
    <row r="27" spans="1:12" x14ac:dyDescent="0.2">
      <c r="A27" s="6" t="s">
        <v>24</v>
      </c>
      <c r="B27" s="3"/>
      <c r="C27" s="4"/>
      <c r="D27" s="3"/>
      <c r="E27" s="3"/>
      <c r="F27" s="3"/>
      <c r="G27" s="3"/>
      <c r="H27" s="3"/>
      <c r="I27" s="3"/>
    </row>
    <row r="28" spans="1:12" ht="20" x14ac:dyDescent="0.25">
      <c r="A28" s="3"/>
      <c r="B28" s="20" t="s">
        <v>49</v>
      </c>
      <c r="C28" s="22" t="s">
        <v>21</v>
      </c>
      <c r="D28" s="22" t="s">
        <v>20</v>
      </c>
      <c r="E28" s="22" t="s">
        <v>19</v>
      </c>
      <c r="F28" s="46" t="s">
        <v>48</v>
      </c>
      <c r="G28" s="46"/>
      <c r="H28" s="3"/>
      <c r="I28" s="3"/>
    </row>
    <row r="29" spans="1:12" x14ac:dyDescent="0.2">
      <c r="A29" s="3"/>
      <c r="B29" s="16">
        <v>1</v>
      </c>
      <c r="C29" s="15">
        <f>E5*E6</f>
        <v>50</v>
      </c>
      <c r="D29" s="14">
        <f>C29/((1+E$7)^(B29))</f>
        <v>47.169811320754718</v>
      </c>
      <c r="E29" s="14">
        <f>B29*D29</f>
        <v>47.169811320754718</v>
      </c>
      <c r="F29" s="42">
        <f>D29*(B29^2+B29/1)</f>
        <v>94.339622641509436</v>
      </c>
      <c r="G29" s="41"/>
      <c r="H29" s="3"/>
      <c r="I29" s="3"/>
      <c r="L29" s="2"/>
    </row>
    <row r="30" spans="1:12" x14ac:dyDescent="0.2">
      <c r="A30" s="3"/>
      <c r="B30" s="16">
        <v>2</v>
      </c>
      <c r="C30" s="15">
        <f>C29</f>
        <v>50</v>
      </c>
      <c r="D30" s="14">
        <f>C30/((1+E$7)^(B30))</f>
        <v>44.499822000711994</v>
      </c>
      <c r="E30" s="14">
        <f>B30*D30</f>
        <v>88.999644001423988</v>
      </c>
      <c r="F30" s="42">
        <f>D30*(B30^2+B30/1)</f>
        <v>266.99893200427198</v>
      </c>
      <c r="G30" s="41"/>
      <c r="H30" s="3"/>
      <c r="I30" s="3"/>
      <c r="L30" s="2"/>
    </row>
    <row r="31" spans="1:12" x14ac:dyDescent="0.2">
      <c r="A31" s="3"/>
      <c r="B31" s="16">
        <v>3</v>
      </c>
      <c r="C31" s="15">
        <f>C30</f>
        <v>50</v>
      </c>
      <c r="D31" s="14">
        <f>C31/((1+E$7)^(B31))</f>
        <v>41.980964151615083</v>
      </c>
      <c r="E31" s="14">
        <f>B31*D31</f>
        <v>125.94289245484525</v>
      </c>
      <c r="F31" s="42">
        <f>D31*(B31^2+B31/1)</f>
        <v>503.771569819381</v>
      </c>
      <c r="G31" s="41"/>
      <c r="H31" s="3"/>
      <c r="I31" s="3"/>
      <c r="L31" s="2"/>
    </row>
    <row r="32" spans="1:12" x14ac:dyDescent="0.2">
      <c r="A32" s="3"/>
      <c r="B32" s="16">
        <v>4</v>
      </c>
      <c r="C32" s="15">
        <f>C31</f>
        <v>50</v>
      </c>
      <c r="D32" s="14">
        <f>C32/((1+E$7)^(B32))</f>
        <v>39.604683161901022</v>
      </c>
      <c r="E32" s="14">
        <f>B32*D32</f>
        <v>158.41873264760409</v>
      </c>
      <c r="F32" s="42">
        <f>D32*(B32^2+B32/1)</f>
        <v>792.09366323802044</v>
      </c>
      <c r="G32" s="41"/>
      <c r="H32" s="3"/>
      <c r="I32" s="3"/>
      <c r="L32" s="2"/>
    </row>
    <row r="33" spans="1:12" x14ac:dyDescent="0.2">
      <c r="A33" s="3"/>
      <c r="B33" s="20">
        <v>5</v>
      </c>
      <c r="C33" s="45">
        <f>E5*(1+E6)</f>
        <v>1050</v>
      </c>
      <c r="D33" s="19">
        <f>C33/((1+E$7)^(B33))</f>
        <v>784.62108150935978</v>
      </c>
      <c r="E33" s="19">
        <f>B33*D33</f>
        <v>3923.1054075467991</v>
      </c>
      <c r="F33" s="44">
        <f>D33*(B33^2+B33/1)</f>
        <v>23538.632445280793</v>
      </c>
      <c r="G33" s="43"/>
      <c r="H33" s="3"/>
      <c r="I33" s="3"/>
      <c r="L33" s="2"/>
    </row>
    <row r="34" spans="1:12" x14ac:dyDescent="0.2">
      <c r="A34" s="3"/>
      <c r="B34" s="16" t="s">
        <v>18</v>
      </c>
      <c r="C34" s="15">
        <f>SUM(C29:C33)</f>
        <v>1250</v>
      </c>
      <c r="D34" s="14">
        <f>SUM(D29:D33)</f>
        <v>957.87636214434258</v>
      </c>
      <c r="E34" s="14">
        <f>SUM(E29:E33)</f>
        <v>4343.6364879714274</v>
      </c>
      <c r="F34" s="42">
        <f>SUM(F29:F33)</f>
        <v>25195.836232983977</v>
      </c>
      <c r="G34" s="41"/>
      <c r="H34" s="3"/>
      <c r="I34" s="3"/>
      <c r="L34" s="2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L35" s="2"/>
    </row>
    <row r="36" spans="1:12" x14ac:dyDescent="0.2">
      <c r="A36" s="3"/>
      <c r="B36" s="3"/>
      <c r="C36" s="40" t="s">
        <v>17</v>
      </c>
      <c r="D36" s="39">
        <f>E34/D34</f>
        <v>4.534652549779576</v>
      </c>
      <c r="E36" s="3"/>
      <c r="F36" s="3"/>
      <c r="G36" s="3"/>
      <c r="H36" s="3"/>
      <c r="I36" s="3"/>
      <c r="L36" s="2"/>
    </row>
    <row r="37" spans="1:12" ht="17" thickBot="1" x14ac:dyDescent="0.25">
      <c r="A37" s="3"/>
      <c r="B37" s="3"/>
      <c r="C37" s="40"/>
      <c r="D37" s="39"/>
      <c r="E37" s="3"/>
      <c r="F37" s="3"/>
      <c r="G37" s="3"/>
      <c r="H37" s="3"/>
      <c r="I37" s="3"/>
      <c r="L37" s="2"/>
    </row>
    <row r="38" spans="1:12" ht="17" thickBot="1" x14ac:dyDescent="0.25">
      <c r="A38" s="3"/>
      <c r="B38" s="3"/>
      <c r="C38" s="8" t="s">
        <v>15</v>
      </c>
      <c r="D38" s="13">
        <f>D36/(1+E7/1)</f>
        <v>4.2779741035656373</v>
      </c>
      <c r="E38" s="9" t="s">
        <v>47</v>
      </c>
      <c r="F38" s="3"/>
      <c r="G38" s="3"/>
      <c r="H38" s="3"/>
      <c r="I38" s="3"/>
      <c r="L38" s="2"/>
    </row>
    <row r="39" spans="1:12" ht="17" thickBot="1" x14ac:dyDescent="0.25">
      <c r="A39" s="6" t="s">
        <v>16</v>
      </c>
      <c r="B39" s="3"/>
      <c r="C39" s="4"/>
      <c r="D39" s="3"/>
      <c r="E39" s="3"/>
      <c r="F39" s="3"/>
      <c r="G39" s="3"/>
      <c r="H39" s="3"/>
      <c r="I39" s="3"/>
    </row>
    <row r="40" spans="1:12" ht="17" thickBot="1" x14ac:dyDescent="0.25">
      <c r="A40" s="3"/>
      <c r="B40" s="3"/>
      <c r="C40" s="8" t="s">
        <v>46</v>
      </c>
      <c r="D40" s="13">
        <f>F34/(D34*(1+E7/1)^2)</f>
        <v>23.410332937267352</v>
      </c>
      <c r="E40" s="3"/>
      <c r="F40" s="3"/>
      <c r="G40" s="3"/>
      <c r="H40" s="3"/>
      <c r="I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12" x14ac:dyDescent="0.2">
      <c r="A42" s="6" t="s">
        <v>14</v>
      </c>
      <c r="B42" s="3"/>
      <c r="C42" s="3"/>
      <c r="D42" s="3"/>
      <c r="E42" s="3"/>
      <c r="F42" s="3"/>
      <c r="G42" s="3"/>
      <c r="H42" s="3"/>
      <c r="I42" s="3"/>
    </row>
    <row r="43" spans="1:12" ht="19" x14ac:dyDescent="0.2">
      <c r="A43" s="6"/>
      <c r="B43" s="10" t="s">
        <v>233</v>
      </c>
      <c r="C43" s="3"/>
      <c r="D43" s="3"/>
      <c r="E43" s="3"/>
      <c r="F43" s="3"/>
      <c r="G43" s="3"/>
      <c r="H43" s="3"/>
      <c r="I43" s="3"/>
    </row>
    <row r="44" spans="1:12" ht="17" thickBot="1" x14ac:dyDescent="0.25">
      <c r="A44" s="6"/>
      <c r="B44" s="10"/>
      <c r="C44" s="3"/>
      <c r="D44" s="3"/>
      <c r="E44" s="3"/>
      <c r="F44" s="3"/>
      <c r="G44" s="3"/>
      <c r="H44" s="3"/>
      <c r="I44" s="3"/>
    </row>
    <row r="45" spans="1:12" ht="17" thickBot="1" x14ac:dyDescent="0.25">
      <c r="A45" s="3"/>
      <c r="B45" s="38"/>
      <c r="C45" s="37" t="s">
        <v>45</v>
      </c>
      <c r="D45" s="36">
        <f>-D38*(-0.01)+1/2*D40*(-0.01)^2</f>
        <v>4.3950257682519742E-2</v>
      </c>
      <c r="E45" s="3"/>
      <c r="F45" s="3"/>
      <c r="G45" s="3"/>
      <c r="H45" s="3"/>
      <c r="I45" s="3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12" x14ac:dyDescent="0.2">
      <c r="A47" s="6" t="s">
        <v>8</v>
      </c>
      <c r="B47" s="3"/>
      <c r="C47" s="3"/>
      <c r="D47" s="3"/>
      <c r="E47" s="3"/>
      <c r="F47" s="3"/>
      <c r="G47" s="3"/>
      <c r="H47" s="3"/>
      <c r="I47" s="3"/>
    </row>
    <row r="48" spans="1:12" x14ac:dyDescent="0.2">
      <c r="A48" s="3"/>
      <c r="B48" s="3" t="s">
        <v>44</v>
      </c>
      <c r="C48" s="3"/>
      <c r="D48" s="3"/>
      <c r="E48" s="3"/>
      <c r="F48" s="3"/>
      <c r="G48" s="3"/>
      <c r="H48" s="3"/>
      <c r="I48" s="3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L49" s="3"/>
      <c r="M49" s="4"/>
      <c r="N49" s="3"/>
    </row>
    <row r="50" spans="1:14" x14ac:dyDescent="0.2">
      <c r="A50" s="5" t="s">
        <v>1</v>
      </c>
      <c r="B50" s="3"/>
      <c r="C50" s="3"/>
      <c r="D50" s="3"/>
      <c r="E50" s="3"/>
      <c r="F50" s="3"/>
      <c r="G50" s="3"/>
      <c r="H50" s="3"/>
      <c r="I50" s="3"/>
      <c r="L50" s="2"/>
      <c r="M50" s="2"/>
      <c r="N50" s="2"/>
    </row>
    <row r="51" spans="1:14" x14ac:dyDescent="0.2">
      <c r="A51" s="3" t="s">
        <v>43</v>
      </c>
      <c r="B51" s="3"/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L52" s="2"/>
      <c r="M52" s="2"/>
      <c r="N52" s="2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L54" s="2"/>
      <c r="M54" s="2"/>
      <c r="N54" s="2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L56" s="2"/>
      <c r="M56" s="2"/>
      <c r="N56" s="2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2"/>
      <c r="M58" s="2"/>
      <c r="N58" s="2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L59" s="3"/>
      <c r="M59" s="4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L68" s="2"/>
      <c r="M68" s="2"/>
      <c r="N68" s="2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L69" s="3"/>
      <c r="M69" s="4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3"/>
      <c r="M79" s="4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2"/>
      <c r="M80" s="2"/>
      <c r="N80" s="2"/>
    </row>
    <row r="81" spans="1:65" x14ac:dyDescent="0.2">
      <c r="A81" s="3"/>
      <c r="B81" s="3"/>
      <c r="C81" s="3"/>
      <c r="D81" s="3"/>
      <c r="E81" s="3"/>
      <c r="F81" s="3"/>
      <c r="G81" s="3"/>
      <c r="H81" s="3"/>
      <c r="I81" s="3"/>
      <c r="L81" s="2"/>
      <c r="M81" s="2"/>
      <c r="N81" s="2"/>
    </row>
    <row r="82" spans="1:65" x14ac:dyDescent="0.2">
      <c r="A82" s="3"/>
      <c r="B82" s="3"/>
      <c r="C82" s="3"/>
      <c r="D82" s="3"/>
      <c r="E82" s="3"/>
      <c r="F82" s="3"/>
      <c r="G82" s="3"/>
      <c r="H82" s="3"/>
      <c r="I82" s="3"/>
      <c r="L82" s="2"/>
      <c r="M82" s="2"/>
      <c r="N82" s="2"/>
    </row>
    <row r="83" spans="1:65" x14ac:dyDescent="0.2">
      <c r="A83" s="3"/>
      <c r="B83" s="3"/>
      <c r="C83" s="3"/>
      <c r="D83" s="3"/>
      <c r="E83" s="3"/>
      <c r="F83" s="3"/>
      <c r="G83" s="3"/>
      <c r="H83" s="3"/>
      <c r="I83" s="3"/>
      <c r="L83" s="2"/>
      <c r="M83" s="2"/>
      <c r="N83" s="2"/>
    </row>
    <row r="84" spans="1:65" x14ac:dyDescent="0.2">
      <c r="A84" s="3"/>
      <c r="B84" s="3"/>
      <c r="C84" s="3"/>
      <c r="D84" s="3"/>
      <c r="E84" s="3"/>
      <c r="F84" s="3"/>
      <c r="G84" s="3"/>
      <c r="H84" s="3"/>
      <c r="I84" s="3"/>
      <c r="L84" s="2"/>
      <c r="M84" s="2"/>
      <c r="N84" s="2"/>
    </row>
    <row r="85" spans="1:65" x14ac:dyDescent="0.2">
      <c r="A85" s="3"/>
      <c r="B85" s="3"/>
      <c r="C85" s="3"/>
      <c r="D85" s="3"/>
      <c r="E85" s="3"/>
      <c r="F85" s="3"/>
      <c r="G85" s="3"/>
      <c r="H85" s="3"/>
      <c r="I85" s="3"/>
      <c r="L85" s="2"/>
      <c r="M85" s="2"/>
      <c r="N85" s="2"/>
    </row>
    <row r="86" spans="1:65" x14ac:dyDescent="0.2">
      <c r="A86" s="3"/>
      <c r="B86" s="3"/>
      <c r="C86" s="3"/>
      <c r="D86" s="3"/>
      <c r="E86" s="3"/>
      <c r="F86" s="3"/>
      <c r="G86" s="3"/>
      <c r="H86" s="3"/>
      <c r="I86" s="3"/>
      <c r="L86" s="2"/>
      <c r="M86" s="2"/>
      <c r="N86" s="2"/>
    </row>
    <row r="87" spans="1:65" x14ac:dyDescent="0.2">
      <c r="A87" s="3"/>
      <c r="B87" s="3"/>
      <c r="C87" s="3"/>
      <c r="D87" s="3"/>
      <c r="E87" s="3"/>
      <c r="F87" s="3"/>
      <c r="G87" s="3"/>
      <c r="H87" s="3"/>
      <c r="I87" s="3"/>
      <c r="L87" s="2"/>
      <c r="M87" s="2"/>
      <c r="N87" s="2"/>
    </row>
    <row r="88" spans="1:65" x14ac:dyDescent="0.2">
      <c r="A88" s="3"/>
      <c r="B88" s="3"/>
      <c r="C88" s="3"/>
      <c r="D88" s="3"/>
      <c r="E88" s="3"/>
      <c r="F88" s="3"/>
      <c r="G88" s="3"/>
      <c r="H88" s="3"/>
      <c r="I88" s="3"/>
      <c r="L88" s="2"/>
      <c r="M88" s="2"/>
      <c r="N88" s="2"/>
    </row>
    <row r="89" spans="1:65" x14ac:dyDescent="0.2">
      <c r="A89" s="3"/>
      <c r="B89" s="3"/>
      <c r="C89" s="3"/>
      <c r="D89" s="3"/>
      <c r="E89" s="3"/>
      <c r="F89" s="3"/>
      <c r="G89" s="3"/>
      <c r="H89" s="3"/>
      <c r="I89" s="3"/>
      <c r="L89" s="3"/>
      <c r="M89" s="4"/>
      <c r="N89" s="3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522F-4050-D54B-B827-1B45ACEC15E4}">
  <dimension ref="A1:BM182"/>
  <sheetViews>
    <sheetView zoomScale="130" zoomScaleNormal="130" workbookViewId="0"/>
  </sheetViews>
  <sheetFormatPr baseColWidth="10" defaultRowHeight="16" x14ac:dyDescent="0.2"/>
  <cols>
    <col min="1" max="16384" width="10.83203125" style="1"/>
  </cols>
  <sheetData>
    <row r="1" spans="1:10" ht="19" x14ac:dyDescent="0.25">
      <c r="A1" s="35" t="s">
        <v>69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41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32" t="s">
        <v>40</v>
      </c>
      <c r="E5" s="34">
        <v>3</v>
      </c>
      <c r="F5" s="29"/>
      <c r="G5" s="29"/>
      <c r="H5" s="29"/>
      <c r="I5" s="29"/>
      <c r="J5" s="28"/>
    </row>
    <row r="6" spans="1:10" x14ac:dyDescent="0.2">
      <c r="A6" s="30"/>
      <c r="B6" s="29"/>
      <c r="C6" s="29"/>
      <c r="D6" s="32" t="s">
        <v>39</v>
      </c>
      <c r="E6" s="33">
        <v>10000</v>
      </c>
      <c r="F6" s="29"/>
      <c r="G6" s="29"/>
      <c r="H6" s="29"/>
      <c r="I6" s="29"/>
      <c r="J6" s="28"/>
    </row>
    <row r="7" spans="1:10" x14ac:dyDescent="0.2">
      <c r="A7" s="30"/>
      <c r="B7" s="29"/>
      <c r="C7" s="29"/>
      <c r="D7" s="32" t="s">
        <v>38</v>
      </c>
      <c r="E7" s="31">
        <v>0.1</v>
      </c>
      <c r="F7" s="29"/>
      <c r="G7" s="29"/>
      <c r="H7" s="29"/>
      <c r="I7" s="29"/>
      <c r="J7" s="28"/>
    </row>
    <row r="8" spans="1:10" x14ac:dyDescent="0.2">
      <c r="A8" s="30"/>
      <c r="B8" s="29"/>
      <c r="C8" s="29"/>
      <c r="D8" s="32" t="s">
        <v>37</v>
      </c>
      <c r="E8" s="31">
        <v>0.08</v>
      </c>
      <c r="F8" s="29"/>
      <c r="G8" s="29"/>
      <c r="H8" s="29"/>
      <c r="I8" s="29"/>
      <c r="J8" s="28"/>
    </row>
    <row r="9" spans="1:10" x14ac:dyDescent="0.2">
      <c r="A9" s="30"/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 t="s">
        <v>35</v>
      </c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/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 t="s">
        <v>34</v>
      </c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31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/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29" t="s">
        <v>32</v>
      </c>
      <c r="C15" s="29"/>
      <c r="D15" s="29"/>
      <c r="E15" s="29"/>
      <c r="F15" s="29"/>
      <c r="G15" s="29"/>
      <c r="H15" s="29"/>
      <c r="I15" s="29"/>
      <c r="J15" s="28"/>
    </row>
    <row r="16" spans="1:10" x14ac:dyDescent="0.2">
      <c r="A16" s="30"/>
      <c r="B16" s="29" t="s">
        <v>53</v>
      </c>
      <c r="C16" s="29"/>
      <c r="D16" s="29"/>
      <c r="E16" s="29"/>
      <c r="F16" s="29"/>
      <c r="G16" s="29"/>
      <c r="H16" s="29"/>
      <c r="I16" s="29"/>
      <c r="J16" s="28"/>
    </row>
    <row r="17" spans="1:13" x14ac:dyDescent="0.2">
      <c r="A17" s="30"/>
      <c r="B17" s="29"/>
      <c r="C17" s="29"/>
      <c r="D17" s="29"/>
      <c r="E17" s="29"/>
      <c r="F17" s="29"/>
      <c r="G17" s="29"/>
      <c r="H17" s="29"/>
      <c r="I17" s="29"/>
      <c r="J17" s="28"/>
    </row>
    <row r="18" spans="1:13" x14ac:dyDescent="0.2">
      <c r="A18" s="30"/>
      <c r="B18" s="29" t="s">
        <v>30</v>
      </c>
      <c r="C18" s="29"/>
      <c r="D18" s="29"/>
      <c r="E18" s="29"/>
      <c r="F18" s="29"/>
      <c r="G18" s="29"/>
      <c r="H18" s="29"/>
      <c r="I18" s="29"/>
      <c r="J18" s="28"/>
    </row>
    <row r="19" spans="1:13" x14ac:dyDescent="0.2">
      <c r="A19" s="30"/>
      <c r="B19" s="29" t="s">
        <v>68</v>
      </c>
      <c r="C19" s="29"/>
      <c r="D19" s="29"/>
      <c r="E19" s="29"/>
      <c r="F19" s="29"/>
      <c r="G19" s="29"/>
      <c r="H19" s="29"/>
      <c r="I19" s="29"/>
      <c r="J19" s="28"/>
    </row>
    <row r="20" spans="1:13" x14ac:dyDescent="0.2">
      <c r="A20" s="30"/>
      <c r="B20" s="29" t="s">
        <v>67</v>
      </c>
      <c r="C20" s="29"/>
      <c r="D20" s="29"/>
      <c r="E20" s="29"/>
      <c r="F20" s="29"/>
      <c r="G20" s="29"/>
      <c r="H20" s="29"/>
      <c r="I20" s="29"/>
      <c r="J20" s="28"/>
    </row>
    <row r="21" spans="1:13" ht="17" thickBot="1" x14ac:dyDescent="0.25">
      <c r="A21" s="27"/>
      <c r="B21" s="25"/>
      <c r="C21" s="26"/>
      <c r="D21" s="26"/>
      <c r="E21" s="26"/>
      <c r="F21" s="25"/>
      <c r="G21" s="25"/>
      <c r="H21" s="25"/>
      <c r="I21" s="25"/>
      <c r="J21" s="24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13" ht="19" x14ac:dyDescent="0.25">
      <c r="A23" s="23" t="s">
        <v>25</v>
      </c>
      <c r="B23" s="3"/>
      <c r="C23" s="3"/>
      <c r="D23" s="3"/>
      <c r="E23" s="3"/>
      <c r="F23" s="3"/>
      <c r="G23" s="3"/>
      <c r="H23" s="3"/>
      <c r="I23" s="3"/>
    </row>
    <row r="24" spans="1:13" x14ac:dyDescent="0.2">
      <c r="A24" s="6" t="s">
        <v>24</v>
      </c>
      <c r="B24" s="3"/>
      <c r="C24" s="4"/>
      <c r="D24" s="3"/>
      <c r="E24" s="3"/>
      <c r="F24" s="3"/>
      <c r="G24" s="138" t="s">
        <v>66</v>
      </c>
      <c r="H24" s="138"/>
      <c r="I24" s="3" t="s">
        <v>65</v>
      </c>
    </row>
    <row r="25" spans="1:13" ht="20" x14ac:dyDescent="0.25">
      <c r="A25" s="3"/>
      <c r="B25" s="20" t="s">
        <v>23</v>
      </c>
      <c r="C25" s="22" t="s">
        <v>22</v>
      </c>
      <c r="D25" s="22" t="s">
        <v>21</v>
      </c>
      <c r="E25" s="22" t="s">
        <v>20</v>
      </c>
      <c r="F25" s="22" t="s">
        <v>19</v>
      </c>
      <c r="G25" s="46" t="s">
        <v>48</v>
      </c>
      <c r="H25" s="46"/>
      <c r="I25" s="54"/>
      <c r="J25" s="3"/>
    </row>
    <row r="26" spans="1:13" x14ac:dyDescent="0.2">
      <c r="A26" s="3"/>
      <c r="B26" s="16">
        <v>1</v>
      </c>
      <c r="C26" s="14">
        <f t="shared" ref="C26:C31" si="0">B26/2</f>
        <v>0.5</v>
      </c>
      <c r="D26" s="15">
        <f>E6*(E7/2)</f>
        <v>500</v>
      </c>
      <c r="E26" s="21">
        <f t="shared" ref="E26:E31" si="1">D26/((1+E$8/2)^(B26))</f>
        <v>480.76923076923077</v>
      </c>
      <c r="F26" s="21">
        <f t="shared" ref="F26:F31" si="2">C26*E26</f>
        <v>240.38461538461539</v>
      </c>
      <c r="G26" s="42">
        <f t="shared" ref="G26:G31" si="3">E26*(C26^2+C26/2)</f>
        <v>240.38461538461539</v>
      </c>
      <c r="H26" s="51"/>
      <c r="J26" s="3"/>
      <c r="M26" s="2"/>
    </row>
    <row r="27" spans="1:13" x14ac:dyDescent="0.2">
      <c r="A27" s="3"/>
      <c r="B27" s="16">
        <v>2</v>
      </c>
      <c r="C27" s="14">
        <f t="shared" si="0"/>
        <v>1</v>
      </c>
      <c r="D27" s="15">
        <f>D26</f>
        <v>500</v>
      </c>
      <c r="E27" s="21">
        <f t="shared" si="1"/>
        <v>462.27810650887568</v>
      </c>
      <c r="F27" s="21">
        <f t="shared" si="2"/>
        <v>462.27810650887568</v>
      </c>
      <c r="G27" s="42">
        <f t="shared" si="3"/>
        <v>693.41715976331352</v>
      </c>
      <c r="H27" s="51"/>
      <c r="J27" s="3"/>
      <c r="M27" s="2"/>
    </row>
    <row r="28" spans="1:13" x14ac:dyDescent="0.2">
      <c r="A28" s="3"/>
      <c r="B28" s="16">
        <v>3</v>
      </c>
      <c r="C28" s="14">
        <f t="shared" si="0"/>
        <v>1.5</v>
      </c>
      <c r="D28" s="15">
        <f>D27</f>
        <v>500</v>
      </c>
      <c r="E28" s="21">
        <f t="shared" si="1"/>
        <v>444.49817933545739</v>
      </c>
      <c r="F28" s="21">
        <f t="shared" si="2"/>
        <v>666.74726900318615</v>
      </c>
      <c r="G28" s="42">
        <f t="shared" si="3"/>
        <v>1333.4945380063723</v>
      </c>
      <c r="H28" s="51"/>
      <c r="I28" s="3"/>
      <c r="J28" s="3"/>
      <c r="M28" s="2"/>
    </row>
    <row r="29" spans="1:13" x14ac:dyDescent="0.2">
      <c r="A29" s="3"/>
      <c r="B29" s="16">
        <v>4</v>
      </c>
      <c r="C29" s="53">
        <f t="shared" si="0"/>
        <v>2</v>
      </c>
      <c r="D29" s="15">
        <f>D28</f>
        <v>500</v>
      </c>
      <c r="E29" s="52">
        <f t="shared" si="1"/>
        <v>427.40209551486282</v>
      </c>
      <c r="F29" s="52">
        <f t="shared" si="2"/>
        <v>854.80419102972564</v>
      </c>
      <c r="G29" s="50">
        <f t="shared" si="3"/>
        <v>2137.0104775743139</v>
      </c>
      <c r="H29" s="51"/>
      <c r="I29" s="3"/>
      <c r="J29" s="3"/>
      <c r="M29" s="2"/>
    </row>
    <row r="30" spans="1:13" x14ac:dyDescent="0.2">
      <c r="A30" s="3"/>
      <c r="B30" s="16">
        <v>5</v>
      </c>
      <c r="C30" s="53">
        <f t="shared" si="0"/>
        <v>2.5</v>
      </c>
      <c r="D30" s="15">
        <f>D29</f>
        <v>500</v>
      </c>
      <c r="E30" s="52">
        <f t="shared" si="1"/>
        <v>410.96355337967577</v>
      </c>
      <c r="F30" s="52">
        <f t="shared" si="2"/>
        <v>1027.4088834491895</v>
      </c>
      <c r="G30" s="42">
        <f t="shared" si="3"/>
        <v>3082.2266503475685</v>
      </c>
      <c r="H30" s="51"/>
      <c r="I30" s="3"/>
      <c r="J30" s="3"/>
      <c r="M30" s="2"/>
    </row>
    <row r="31" spans="1:13" x14ac:dyDescent="0.2">
      <c r="A31" s="3"/>
      <c r="B31" s="20">
        <v>6</v>
      </c>
      <c r="C31" s="19">
        <f t="shared" si="0"/>
        <v>3</v>
      </c>
      <c r="D31" s="18">
        <f>E6+D30</f>
        <v>10500</v>
      </c>
      <c r="E31" s="17">
        <f t="shared" si="1"/>
        <v>8298.3025201665296</v>
      </c>
      <c r="F31" s="17">
        <f t="shared" si="2"/>
        <v>24894.907560499589</v>
      </c>
      <c r="G31" s="44">
        <f t="shared" si="3"/>
        <v>87132.176461748561</v>
      </c>
      <c r="H31" s="46"/>
      <c r="I31" s="3"/>
      <c r="J31" s="3"/>
      <c r="M31" s="2"/>
    </row>
    <row r="32" spans="1:13" x14ac:dyDescent="0.2">
      <c r="A32" s="3"/>
      <c r="B32" s="16" t="s">
        <v>18</v>
      </c>
      <c r="C32" s="14"/>
      <c r="D32" s="15">
        <f>SUM(D26:D31)</f>
        <v>13000</v>
      </c>
      <c r="E32" s="21">
        <f>SUM(E26:E31)</f>
        <v>10524.213685674633</v>
      </c>
      <c r="F32" s="21">
        <f>SUM(F26:F31)</f>
        <v>28146.530625875181</v>
      </c>
      <c r="G32" s="41">
        <f>SUM(G26:G31)</f>
        <v>94618.709902824747</v>
      </c>
      <c r="H32" s="51"/>
      <c r="I32" s="3"/>
      <c r="J32" s="3"/>
      <c r="M32" s="2"/>
    </row>
    <row r="33" spans="1:14" x14ac:dyDescent="0.2">
      <c r="A33" s="3"/>
      <c r="B33" s="3"/>
      <c r="C33" s="3"/>
      <c r="D33" s="3"/>
      <c r="E33" s="3"/>
      <c r="F33" s="3"/>
      <c r="G33" s="50"/>
      <c r="H33" s="3"/>
      <c r="I33" s="3"/>
      <c r="L33" s="2"/>
    </row>
    <row r="34" spans="1:14" x14ac:dyDescent="0.2">
      <c r="A34" s="3"/>
      <c r="B34" s="49" t="s">
        <v>17</v>
      </c>
      <c r="C34" s="48">
        <f>F32/E32</f>
        <v>2.6744544976493327</v>
      </c>
      <c r="D34" s="3"/>
      <c r="E34" s="3"/>
      <c r="F34" s="3"/>
      <c r="G34" s="3"/>
      <c r="H34" s="3"/>
      <c r="I34" s="3"/>
      <c r="L34" s="2"/>
    </row>
    <row r="35" spans="1:14" ht="17" thickBot="1" x14ac:dyDescent="0.25">
      <c r="A35" s="3"/>
      <c r="B35" s="3"/>
      <c r="C35" s="3"/>
      <c r="D35" s="3"/>
      <c r="E35" s="3"/>
      <c r="F35" s="3"/>
      <c r="G35" s="3"/>
      <c r="H35" s="3"/>
      <c r="I35" s="3"/>
      <c r="L35" s="2"/>
    </row>
    <row r="36" spans="1:14" ht="17" thickBot="1" x14ac:dyDescent="0.25">
      <c r="A36" s="3"/>
      <c r="B36" s="8" t="s">
        <v>15</v>
      </c>
      <c r="C36" s="12">
        <f>C34/(1+E8/2)</f>
        <v>2.5715908631243583</v>
      </c>
      <c r="D36" s="3"/>
      <c r="E36" s="3" t="s">
        <v>65</v>
      </c>
      <c r="F36" s="3"/>
      <c r="G36" s="3"/>
      <c r="H36" s="3"/>
      <c r="I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14" x14ac:dyDescent="0.2">
      <c r="A38" s="6" t="s">
        <v>16</v>
      </c>
      <c r="B38" s="3"/>
      <c r="C38" s="4"/>
      <c r="D38" s="3"/>
      <c r="E38" s="3"/>
      <c r="F38" s="3"/>
      <c r="G38" s="3"/>
      <c r="H38" s="3"/>
      <c r="I38" s="3"/>
    </row>
    <row r="39" spans="1:14" ht="20" x14ac:dyDescent="0.25">
      <c r="A39" s="6"/>
      <c r="B39" s="40" t="s">
        <v>46</v>
      </c>
      <c r="C39" s="139" t="s">
        <v>64</v>
      </c>
      <c r="D39" s="139"/>
      <c r="E39" s="3" t="s">
        <v>63</v>
      </c>
      <c r="F39" s="3"/>
      <c r="G39" s="3"/>
      <c r="H39" s="3"/>
      <c r="I39" s="3"/>
    </row>
    <row r="40" spans="1:14" ht="19" x14ac:dyDescent="0.2">
      <c r="A40" s="6"/>
      <c r="B40" s="3"/>
      <c r="C40" s="140" t="s">
        <v>62</v>
      </c>
      <c r="D40" s="140"/>
      <c r="E40" s="3"/>
      <c r="F40" s="3"/>
      <c r="G40" s="3"/>
      <c r="H40" s="3"/>
      <c r="I40" s="3"/>
    </row>
    <row r="41" spans="1:14" ht="17" thickBot="1" x14ac:dyDescent="0.25">
      <c r="A41" s="6"/>
      <c r="B41" s="3"/>
      <c r="C41" s="4"/>
      <c r="D41" s="3"/>
      <c r="E41" s="3"/>
      <c r="F41" s="3"/>
      <c r="G41" s="3"/>
      <c r="H41" s="3"/>
      <c r="I41" s="3"/>
    </row>
    <row r="42" spans="1:14" ht="17" thickBot="1" x14ac:dyDescent="0.25">
      <c r="A42" s="6"/>
      <c r="B42" s="8" t="s">
        <v>46</v>
      </c>
      <c r="C42" s="12">
        <f>G32/(E32*(1+E8/2)^2)</f>
        <v>8.3122899934517172</v>
      </c>
      <c r="D42" s="3"/>
      <c r="E42" s="3"/>
      <c r="F42" s="3"/>
      <c r="G42" s="3"/>
      <c r="H42" s="3"/>
      <c r="I42" s="3"/>
    </row>
    <row r="43" spans="1:14" x14ac:dyDescent="0.2">
      <c r="A43" s="6"/>
      <c r="B43" s="3"/>
      <c r="C43" s="4"/>
      <c r="D43" s="3"/>
      <c r="E43" s="3"/>
      <c r="F43" s="3"/>
      <c r="G43" s="3"/>
      <c r="H43" s="3"/>
      <c r="I43" s="3"/>
    </row>
    <row r="44" spans="1:14" x14ac:dyDescent="0.2">
      <c r="A44" s="6" t="s">
        <v>14</v>
      </c>
      <c r="B44" s="3"/>
      <c r="C44" s="4"/>
      <c r="D44" s="3"/>
      <c r="E44" s="3"/>
      <c r="F44" s="3"/>
      <c r="G44" s="3"/>
      <c r="H44" s="3"/>
      <c r="I44" s="3"/>
    </row>
    <row r="45" spans="1:14" ht="19" x14ac:dyDescent="0.2">
      <c r="A45" s="3"/>
      <c r="B45" s="11" t="s">
        <v>13</v>
      </c>
      <c r="C45" s="10" t="s">
        <v>232</v>
      </c>
      <c r="D45" s="3"/>
      <c r="E45" s="3"/>
      <c r="F45" s="3"/>
      <c r="G45" s="3"/>
      <c r="H45" s="3"/>
      <c r="I45" s="3"/>
      <c r="L45" s="3"/>
      <c r="M45" s="4"/>
      <c r="N45" s="3"/>
    </row>
    <row r="46" spans="1:14" x14ac:dyDescent="0.2">
      <c r="A46" s="3"/>
      <c r="B46" s="9" t="s">
        <v>11</v>
      </c>
      <c r="C46" s="3"/>
      <c r="D46" s="3"/>
      <c r="E46" s="3"/>
      <c r="F46" s="3"/>
      <c r="G46" s="3"/>
      <c r="H46" s="3"/>
      <c r="I46" s="3"/>
      <c r="L46" s="2"/>
      <c r="M46" s="2"/>
      <c r="N46" s="2"/>
    </row>
    <row r="47" spans="1:14" ht="17" thickBot="1" x14ac:dyDescent="0.25">
      <c r="A47" s="3"/>
      <c r="B47" s="3"/>
      <c r="C47" s="3"/>
      <c r="D47" s="3"/>
      <c r="E47" s="3"/>
      <c r="F47" s="3"/>
      <c r="G47" s="3"/>
      <c r="H47" s="3"/>
      <c r="I47" s="3"/>
      <c r="L47" s="2"/>
      <c r="M47" s="2"/>
      <c r="N47" s="2"/>
    </row>
    <row r="48" spans="1:14" ht="17" thickBot="1" x14ac:dyDescent="0.25">
      <c r="A48" s="3"/>
      <c r="B48" s="8" t="s">
        <v>61</v>
      </c>
      <c r="C48" s="47">
        <f>-C36*0.005+0.5*C42*0.005^2</f>
        <v>-1.2754050690703646E-2</v>
      </c>
      <c r="D48" s="3"/>
      <c r="E48" s="3"/>
      <c r="F48" s="3"/>
      <c r="G48" s="3"/>
      <c r="H48" s="3"/>
      <c r="I48" s="3"/>
      <c r="L48" s="2"/>
      <c r="M48" s="2"/>
      <c r="N48" s="2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L49" s="2"/>
      <c r="M49" s="2"/>
      <c r="N49" s="2"/>
    </row>
    <row r="50" spans="1:14" x14ac:dyDescent="0.2">
      <c r="A50" s="3"/>
      <c r="B50" s="3" t="s">
        <v>60</v>
      </c>
      <c r="C50" s="3"/>
      <c r="D50" s="3"/>
      <c r="E50" s="3"/>
      <c r="F50" s="3"/>
      <c r="G50" s="3"/>
      <c r="H50" s="3"/>
      <c r="I50" s="3"/>
      <c r="L50" s="2"/>
      <c r="M50" s="2"/>
      <c r="N50" s="2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5" t="s">
        <v>5</v>
      </c>
      <c r="B52" s="3"/>
      <c r="C52" s="3"/>
      <c r="D52" s="3"/>
      <c r="E52" s="3"/>
      <c r="F52" s="3"/>
      <c r="G52" s="3"/>
      <c r="H52" s="3"/>
      <c r="I52" s="3"/>
      <c r="L52" s="2"/>
      <c r="M52" s="2"/>
      <c r="N52" s="2"/>
    </row>
    <row r="53" spans="1:14" x14ac:dyDescent="0.2">
      <c r="A53" s="3" t="s">
        <v>59</v>
      </c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L54" s="2"/>
      <c r="M54" s="2"/>
      <c r="N54" s="2"/>
    </row>
    <row r="55" spans="1:14" x14ac:dyDescent="0.2">
      <c r="A55" s="5" t="s">
        <v>1</v>
      </c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3" t="s">
        <v>0</v>
      </c>
      <c r="B56" s="3"/>
      <c r="C56" s="3"/>
      <c r="D56" s="3"/>
      <c r="E56" s="3"/>
      <c r="F56" s="3"/>
      <c r="G56" s="3"/>
      <c r="H56" s="3"/>
      <c r="I56" s="3"/>
      <c r="L56" s="2"/>
      <c r="M56" s="2"/>
      <c r="N56" s="2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3"/>
      <c r="M58" s="4"/>
      <c r="N58" s="3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L59" s="2"/>
      <c r="M59" s="2"/>
      <c r="N59" s="2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65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65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65" x14ac:dyDescent="0.2">
      <c r="A67" s="3"/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65" x14ac:dyDescent="0.2">
      <c r="A68" s="3"/>
      <c r="B68" s="3"/>
      <c r="C68" s="3"/>
      <c r="D68" s="3"/>
      <c r="E68" s="3"/>
      <c r="F68" s="3"/>
      <c r="G68" s="3"/>
      <c r="H68" s="3"/>
      <c r="I68" s="3"/>
      <c r="L68" s="3"/>
      <c r="M68" s="4"/>
      <c r="N68" s="3"/>
    </row>
    <row r="69" spans="1:65" x14ac:dyDescent="0.2">
      <c r="A69" s="3"/>
      <c r="B69" s="3"/>
      <c r="C69" s="3"/>
      <c r="D69" s="3"/>
      <c r="E69" s="3"/>
      <c r="F69" s="3"/>
      <c r="G69" s="3"/>
      <c r="H69" s="3"/>
      <c r="I69" s="3"/>
      <c r="L69" s="2"/>
      <c r="M69" s="2"/>
      <c r="N69" s="2"/>
    </row>
    <row r="70" spans="1:65" x14ac:dyDescent="0.2">
      <c r="A70" s="3"/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65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65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65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65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65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65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65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65" x14ac:dyDescent="0.2">
      <c r="A78" s="3"/>
      <c r="B78" s="3"/>
      <c r="C78" s="3"/>
      <c r="D78" s="3"/>
      <c r="E78" s="3"/>
      <c r="F78" s="3"/>
      <c r="G78" s="3"/>
      <c r="H78" s="3"/>
      <c r="I78" s="3"/>
      <c r="L78" s="3"/>
      <c r="M78" s="4"/>
      <c r="N78" s="3"/>
    </row>
    <row r="79" spans="1:65" x14ac:dyDescent="0.2">
      <c r="A79" s="2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x14ac:dyDescent="0.2">
      <c r="A80" s="2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G181" s="2"/>
      <c r="H181" s="2"/>
    </row>
    <row r="182" spans="1:65" x14ac:dyDescent="0.2">
      <c r="G182" s="2"/>
      <c r="H182" s="2"/>
    </row>
  </sheetData>
  <mergeCells count="3">
    <mergeCell ref="G24:H24"/>
    <mergeCell ref="C39:D39"/>
    <mergeCell ref="C40:D40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46CC-CD1A-0F46-9BC1-9FACA49FEF28}">
  <dimension ref="A1:BM213"/>
  <sheetViews>
    <sheetView zoomScale="130" zoomScaleNormal="130" workbookViewId="0"/>
  </sheetViews>
  <sheetFormatPr baseColWidth="10" defaultRowHeight="16" x14ac:dyDescent="0.2"/>
  <cols>
    <col min="1" max="3" width="10.83203125" style="1"/>
    <col min="4" max="4" width="10.83203125" style="1" customWidth="1"/>
    <col min="5" max="16384" width="10.83203125" style="1"/>
  </cols>
  <sheetData>
    <row r="1" spans="1:10" ht="19" x14ac:dyDescent="0.25">
      <c r="A1" s="35" t="s">
        <v>92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41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32" t="s">
        <v>39</v>
      </c>
      <c r="E5" s="33">
        <v>1000</v>
      </c>
      <c r="F5" s="29"/>
      <c r="G5" s="29"/>
      <c r="H5" s="29"/>
      <c r="I5" s="29"/>
      <c r="J5" s="28"/>
    </row>
    <row r="6" spans="1:10" x14ac:dyDescent="0.2">
      <c r="A6" s="30"/>
      <c r="B6" s="29"/>
      <c r="C6" s="29"/>
      <c r="D6" s="32" t="s">
        <v>40</v>
      </c>
      <c r="E6" s="64">
        <v>2</v>
      </c>
      <c r="F6" s="29"/>
      <c r="G6" s="29"/>
      <c r="H6" s="29"/>
      <c r="I6" s="29"/>
      <c r="J6" s="28"/>
    </row>
    <row r="7" spans="1:10" x14ac:dyDescent="0.2">
      <c r="A7" s="30"/>
      <c r="B7" s="29"/>
      <c r="C7" s="29"/>
      <c r="D7" s="32" t="s">
        <v>38</v>
      </c>
      <c r="E7" s="31">
        <v>0.04</v>
      </c>
      <c r="F7" s="29" t="s">
        <v>91</v>
      </c>
      <c r="G7" s="29"/>
      <c r="H7" s="29"/>
      <c r="I7" s="29"/>
      <c r="J7" s="28"/>
    </row>
    <row r="8" spans="1:10" x14ac:dyDescent="0.2">
      <c r="A8" s="30"/>
      <c r="B8" s="29"/>
      <c r="C8" s="29"/>
      <c r="D8" s="32" t="s">
        <v>90</v>
      </c>
      <c r="E8" s="31">
        <v>0.05</v>
      </c>
      <c r="F8" s="29" t="s">
        <v>89</v>
      </c>
      <c r="G8" s="29"/>
      <c r="H8" s="29"/>
      <c r="I8" s="29"/>
      <c r="J8" s="28"/>
    </row>
    <row r="9" spans="1:10" x14ac:dyDescent="0.2">
      <c r="A9" s="30"/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 t="s">
        <v>88</v>
      </c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/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 t="s">
        <v>34</v>
      </c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87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 t="s">
        <v>86</v>
      </c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29"/>
      <c r="C15" s="29" t="s">
        <v>85</v>
      </c>
      <c r="D15" s="29"/>
      <c r="E15" s="29"/>
      <c r="F15" s="29"/>
      <c r="G15" s="29"/>
      <c r="H15" s="29"/>
      <c r="I15" s="29"/>
      <c r="J15" s="28"/>
    </row>
    <row r="16" spans="1:10" x14ac:dyDescent="0.2">
      <c r="A16" s="30"/>
      <c r="B16" s="29"/>
      <c r="C16" s="29" t="s">
        <v>84</v>
      </c>
      <c r="D16" s="29"/>
      <c r="E16" s="29"/>
      <c r="F16" s="29"/>
      <c r="G16" s="29"/>
      <c r="H16" s="29"/>
      <c r="I16" s="29"/>
      <c r="J16" s="28"/>
    </row>
    <row r="17" spans="1:12" x14ac:dyDescent="0.2">
      <c r="A17" s="30"/>
      <c r="B17" s="29"/>
      <c r="C17" s="29"/>
      <c r="D17" s="29"/>
      <c r="E17" s="29"/>
      <c r="F17" s="29"/>
      <c r="G17" s="29"/>
      <c r="H17" s="29"/>
      <c r="I17" s="29"/>
      <c r="J17" s="28"/>
    </row>
    <row r="18" spans="1:12" x14ac:dyDescent="0.2">
      <c r="A18" s="30"/>
      <c r="B18" s="29" t="s">
        <v>32</v>
      </c>
      <c r="C18" s="29"/>
      <c r="D18" s="29"/>
      <c r="E18" s="29"/>
      <c r="F18" s="29"/>
      <c r="G18" s="29"/>
      <c r="H18" s="29"/>
      <c r="I18" s="29"/>
      <c r="J18" s="28"/>
    </row>
    <row r="19" spans="1:12" x14ac:dyDescent="0.2">
      <c r="A19" s="30"/>
      <c r="B19" s="29" t="s">
        <v>83</v>
      </c>
      <c r="C19" s="29"/>
      <c r="D19" s="29"/>
      <c r="E19" s="29"/>
      <c r="F19" s="29"/>
      <c r="G19" s="29"/>
      <c r="H19" s="29"/>
      <c r="I19" s="29"/>
      <c r="J19" s="28"/>
    </row>
    <row r="20" spans="1:12" ht="17" thickBot="1" x14ac:dyDescent="0.25">
      <c r="A20" s="27"/>
      <c r="B20" s="25"/>
      <c r="C20" s="26"/>
      <c r="D20" s="26"/>
      <c r="E20" s="26"/>
      <c r="F20" s="25"/>
      <c r="G20" s="25"/>
      <c r="H20" s="25"/>
      <c r="I20" s="25"/>
      <c r="J20" s="24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12" ht="19" x14ac:dyDescent="0.25">
      <c r="A22" s="23" t="s">
        <v>25</v>
      </c>
      <c r="B22" s="3"/>
      <c r="C22" s="3"/>
      <c r="D22" s="3"/>
      <c r="E22" s="3"/>
      <c r="F22" s="3"/>
      <c r="G22" s="3"/>
      <c r="H22" s="3"/>
      <c r="I22" s="3"/>
    </row>
    <row r="23" spans="1:12" x14ac:dyDescent="0.2">
      <c r="A23" s="6" t="s">
        <v>24</v>
      </c>
      <c r="B23" s="3"/>
      <c r="C23" s="4"/>
      <c r="D23" s="3"/>
      <c r="E23" s="3"/>
      <c r="F23" s="3"/>
      <c r="G23" s="3"/>
      <c r="H23" s="3"/>
      <c r="I23" s="3"/>
    </row>
    <row r="24" spans="1:12" ht="20" x14ac:dyDescent="0.25">
      <c r="A24" s="3"/>
      <c r="B24" s="20" t="s">
        <v>82</v>
      </c>
      <c r="C24" s="22" t="s">
        <v>21</v>
      </c>
      <c r="D24" s="22" t="s">
        <v>20</v>
      </c>
      <c r="E24" s="22" t="s">
        <v>19</v>
      </c>
      <c r="F24" s="46" t="s">
        <v>48</v>
      </c>
      <c r="G24" s="46"/>
      <c r="H24" s="55" t="s">
        <v>81</v>
      </c>
    </row>
    <row r="25" spans="1:12" x14ac:dyDescent="0.2">
      <c r="A25" s="3"/>
      <c r="B25" s="16">
        <v>1</v>
      </c>
      <c r="C25" s="15">
        <f>E5*E7</f>
        <v>40</v>
      </c>
      <c r="D25" s="21">
        <f>C25/((1+E$8)^(B25))</f>
        <v>38.095238095238095</v>
      </c>
      <c r="E25" s="21">
        <f>B25*D25</f>
        <v>38.095238095238095</v>
      </c>
      <c r="F25" s="42">
        <f>D25*(B25^2+B25)</f>
        <v>76.19047619047619</v>
      </c>
      <c r="G25" s="51"/>
      <c r="H25" s="3"/>
      <c r="K25" s="2"/>
    </row>
    <row r="26" spans="1:12" x14ac:dyDescent="0.2">
      <c r="A26" s="3"/>
      <c r="B26" s="20">
        <v>2</v>
      </c>
      <c r="C26" s="18">
        <f>E5+C25</f>
        <v>1040</v>
      </c>
      <c r="D26" s="17">
        <f>C26/((1+E$8)^(B26))</f>
        <v>943.31065759637181</v>
      </c>
      <c r="E26" s="17">
        <f>B26*D26</f>
        <v>1886.6213151927436</v>
      </c>
      <c r="F26" s="44">
        <f>D26*(B26^2+B26)</f>
        <v>5659.8639455782304</v>
      </c>
      <c r="G26" s="46"/>
      <c r="H26" s="3"/>
      <c r="K26" s="2"/>
    </row>
    <row r="27" spans="1:12" x14ac:dyDescent="0.2">
      <c r="A27" s="3"/>
      <c r="B27" s="16" t="s">
        <v>18</v>
      </c>
      <c r="C27" s="15">
        <f>SUM(C25:C26)</f>
        <v>1080</v>
      </c>
      <c r="D27" s="21">
        <f>SUM(D25:D26)</f>
        <v>981.40589569160989</v>
      </c>
      <c r="E27" s="21">
        <f>SUM(E25:E26)</f>
        <v>1924.7165532879817</v>
      </c>
      <c r="F27" s="42">
        <f>SUM(F25:F26)</f>
        <v>5736.0544217687066</v>
      </c>
      <c r="G27" s="51"/>
      <c r="H27" s="3"/>
      <c r="K27" s="2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L28" s="2"/>
    </row>
    <row r="29" spans="1:12" x14ac:dyDescent="0.2">
      <c r="A29" s="3"/>
      <c r="B29" s="40" t="s">
        <v>17</v>
      </c>
      <c r="C29" s="39">
        <f>E27/D27</f>
        <v>1.9611829944547134</v>
      </c>
      <c r="D29" s="3"/>
      <c r="E29" s="3"/>
      <c r="F29" s="3"/>
      <c r="G29" s="3"/>
      <c r="H29" s="3"/>
      <c r="I29" s="3"/>
      <c r="L29" s="2"/>
    </row>
    <row r="30" spans="1:12" x14ac:dyDescent="0.2">
      <c r="A30" s="3"/>
      <c r="B30" s="40"/>
      <c r="C30" s="39"/>
      <c r="D30" s="3"/>
      <c r="E30" s="3"/>
      <c r="F30" s="3"/>
      <c r="G30" s="3"/>
      <c r="H30" s="3"/>
      <c r="I30" s="3"/>
      <c r="L30" s="2"/>
    </row>
    <row r="31" spans="1:12" x14ac:dyDescent="0.2">
      <c r="A31" s="3"/>
      <c r="B31" s="49" t="s">
        <v>15</v>
      </c>
      <c r="C31" s="63">
        <f>C29/(1+E8)</f>
        <v>1.867793328052108</v>
      </c>
      <c r="D31" s="3"/>
      <c r="E31" s="3"/>
      <c r="F31" s="3"/>
      <c r="G31" s="3"/>
      <c r="H31" s="3"/>
      <c r="I31" s="3"/>
      <c r="L31" s="2"/>
    </row>
    <row r="32" spans="1:12" x14ac:dyDescent="0.2">
      <c r="A32" s="3"/>
      <c r="B32" s="4"/>
      <c r="C32" s="3"/>
      <c r="D32" s="3"/>
      <c r="E32" s="3"/>
      <c r="F32" s="3"/>
      <c r="G32" s="3"/>
      <c r="H32" s="3"/>
      <c r="I32" s="3"/>
      <c r="L32" s="2"/>
    </row>
    <row r="33" spans="1:13" x14ac:dyDescent="0.2">
      <c r="A33" s="3"/>
      <c r="B33" s="49" t="s">
        <v>46</v>
      </c>
      <c r="C33" s="48">
        <f>F27/(D27*(1+E8/1)^2)</f>
        <v>5.3013441975681204</v>
      </c>
      <c r="D33" s="3"/>
      <c r="E33" s="3"/>
      <c r="F33" s="3"/>
      <c r="G33" s="3"/>
      <c r="H33" s="3"/>
      <c r="I33" s="3"/>
      <c r="L33" s="2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  <c r="L34" s="2"/>
    </row>
    <row r="35" spans="1:13" x14ac:dyDescent="0.2">
      <c r="A35" s="3"/>
      <c r="B35" s="3" t="s">
        <v>80</v>
      </c>
      <c r="C35" s="3"/>
      <c r="D35" s="3"/>
      <c r="E35" s="3"/>
      <c r="F35" s="3"/>
      <c r="G35" s="3"/>
      <c r="H35" s="3"/>
      <c r="I35" s="3"/>
      <c r="L35" s="2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L36" s="2"/>
    </row>
    <row r="37" spans="1:13" ht="19" x14ac:dyDescent="0.2">
      <c r="A37" s="3"/>
      <c r="B37" s="40" t="s">
        <v>79</v>
      </c>
      <c r="C37" s="62" t="s">
        <v>13</v>
      </c>
      <c r="D37" s="10" t="s">
        <v>12</v>
      </c>
      <c r="E37" s="3"/>
      <c r="F37" s="40" t="s">
        <v>78</v>
      </c>
      <c r="G37" s="11" t="s">
        <v>13</v>
      </c>
      <c r="H37" s="10" t="s">
        <v>232</v>
      </c>
      <c r="I37" s="3"/>
      <c r="J37" s="3"/>
      <c r="M37" s="2"/>
    </row>
    <row r="38" spans="1:13" x14ac:dyDescent="0.2">
      <c r="A38" s="3"/>
      <c r="B38" s="3"/>
      <c r="C38" s="61" t="s">
        <v>11</v>
      </c>
      <c r="D38" s="60"/>
      <c r="E38" s="3"/>
      <c r="F38" s="3"/>
      <c r="G38" s="9" t="s">
        <v>11</v>
      </c>
      <c r="H38" s="3"/>
      <c r="I38" s="3"/>
      <c r="J38" s="3"/>
      <c r="M38" s="2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L39" s="2"/>
    </row>
    <row r="40" spans="1:13" ht="51" x14ac:dyDescent="0.2">
      <c r="A40" s="3"/>
      <c r="B40" s="20" t="s">
        <v>77</v>
      </c>
      <c r="C40" s="113" t="s">
        <v>76</v>
      </c>
      <c r="D40" s="113" t="s">
        <v>75</v>
      </c>
      <c r="E40" s="3"/>
      <c r="F40" s="3"/>
      <c r="G40" s="3"/>
      <c r="H40" s="3"/>
      <c r="I40" s="3"/>
      <c r="L40" s="2"/>
    </row>
    <row r="41" spans="1:13" x14ac:dyDescent="0.2">
      <c r="A41" s="3"/>
      <c r="B41" s="59">
        <v>-0.05</v>
      </c>
      <c r="C41" s="58">
        <f t="shared" ref="C41:C51" si="0">-C$31*B41</f>
        <v>9.3389666402605404E-2</v>
      </c>
      <c r="D41" s="57">
        <f t="shared" ref="D41:D51" si="1">C41+0.5*C$33*B41^2</f>
        <v>0.10001634664956556</v>
      </c>
      <c r="E41" s="3"/>
      <c r="F41" s="3"/>
      <c r="G41" s="3"/>
      <c r="H41" s="3"/>
      <c r="I41" s="3"/>
      <c r="L41" s="2"/>
    </row>
    <row r="42" spans="1:13" x14ac:dyDescent="0.2">
      <c r="A42" s="3"/>
      <c r="B42" s="59">
        <f t="shared" ref="B42:B51" si="2">B41+0.01</f>
        <v>-0.04</v>
      </c>
      <c r="C42" s="58">
        <f t="shared" si="0"/>
        <v>7.4711733122084317E-2</v>
      </c>
      <c r="D42" s="57">
        <f t="shared" si="1"/>
        <v>7.8952808480138817E-2</v>
      </c>
      <c r="E42" s="3"/>
      <c r="F42" s="3"/>
      <c r="G42" s="3"/>
      <c r="H42" s="3"/>
      <c r="I42" s="3"/>
      <c r="L42" s="2"/>
    </row>
    <row r="43" spans="1:13" x14ac:dyDescent="0.2">
      <c r="A43" s="3"/>
      <c r="B43" s="59">
        <f t="shared" si="2"/>
        <v>-0.03</v>
      </c>
      <c r="C43" s="58">
        <f t="shared" si="0"/>
        <v>5.6033799841563238E-2</v>
      </c>
      <c r="D43" s="57">
        <f t="shared" si="1"/>
        <v>5.8419404730468895E-2</v>
      </c>
      <c r="E43" s="3"/>
      <c r="F43" s="3"/>
      <c r="G43" s="3"/>
      <c r="H43" s="3"/>
      <c r="I43" s="3"/>
      <c r="L43" s="2"/>
    </row>
    <row r="44" spans="1:13" x14ac:dyDescent="0.2">
      <c r="A44" s="3"/>
      <c r="B44" s="59">
        <f t="shared" si="2"/>
        <v>-1.9999999999999997E-2</v>
      </c>
      <c r="C44" s="58">
        <f t="shared" si="0"/>
        <v>3.7355866561042152E-2</v>
      </c>
      <c r="D44" s="57">
        <f t="shared" si="1"/>
        <v>3.8416135400555773E-2</v>
      </c>
      <c r="E44" s="3"/>
      <c r="F44" s="3"/>
      <c r="G44" s="3"/>
      <c r="H44" s="3"/>
      <c r="I44" s="3"/>
      <c r="L44" s="2"/>
    </row>
    <row r="45" spans="1:13" x14ac:dyDescent="0.2">
      <c r="A45" s="3"/>
      <c r="B45" s="59">
        <f t="shared" si="2"/>
        <v>-9.9999999999999967E-3</v>
      </c>
      <c r="C45" s="58">
        <f t="shared" si="0"/>
        <v>1.8677933280521072E-2</v>
      </c>
      <c r="D45" s="57">
        <f t="shared" si="1"/>
        <v>1.8943000490399479E-2</v>
      </c>
      <c r="E45" s="3"/>
      <c r="F45" s="3"/>
      <c r="G45" s="3"/>
      <c r="H45" s="3"/>
      <c r="I45" s="3"/>
      <c r="L45" s="2"/>
    </row>
    <row r="46" spans="1:13" x14ac:dyDescent="0.2">
      <c r="A46" s="3"/>
      <c r="B46" s="59">
        <f t="shared" si="2"/>
        <v>0</v>
      </c>
      <c r="C46" s="58">
        <f t="shared" si="0"/>
        <v>0</v>
      </c>
      <c r="D46" s="57">
        <f t="shared" si="1"/>
        <v>0</v>
      </c>
      <c r="E46" s="3"/>
      <c r="F46" s="3"/>
      <c r="G46" s="3"/>
      <c r="H46" s="3"/>
      <c r="I46" s="3"/>
      <c r="L46" s="2"/>
    </row>
    <row r="47" spans="1:13" x14ac:dyDescent="0.2">
      <c r="A47" s="3"/>
      <c r="B47" s="59">
        <f t="shared" si="2"/>
        <v>0.01</v>
      </c>
      <c r="C47" s="58">
        <f t="shared" si="0"/>
        <v>-1.8677933280521079E-2</v>
      </c>
      <c r="D47" s="57">
        <f t="shared" si="1"/>
        <v>-1.8412866070642672E-2</v>
      </c>
      <c r="E47" s="3"/>
      <c r="F47" s="3"/>
      <c r="G47" s="3"/>
      <c r="H47" s="3"/>
      <c r="I47" s="3"/>
      <c r="L47" s="2"/>
    </row>
    <row r="48" spans="1:13" x14ac:dyDescent="0.2">
      <c r="A48" s="3"/>
      <c r="B48" s="59">
        <f t="shared" si="2"/>
        <v>0.02</v>
      </c>
      <c r="C48" s="58">
        <f t="shared" si="0"/>
        <v>-3.7355866561042159E-2</v>
      </c>
      <c r="D48" s="57">
        <f t="shared" si="1"/>
        <v>-3.6295597721528537E-2</v>
      </c>
      <c r="E48" s="3"/>
      <c r="F48" s="3"/>
      <c r="G48" s="3"/>
      <c r="H48" s="3"/>
      <c r="I48" s="3"/>
      <c r="L48" s="2"/>
    </row>
    <row r="49" spans="1:12" x14ac:dyDescent="0.2">
      <c r="A49" s="3"/>
      <c r="B49" s="59">
        <f t="shared" si="2"/>
        <v>0.03</v>
      </c>
      <c r="C49" s="58">
        <f t="shared" si="0"/>
        <v>-5.6033799841563238E-2</v>
      </c>
      <c r="D49" s="57">
        <f t="shared" si="1"/>
        <v>-5.3648194952657581E-2</v>
      </c>
      <c r="E49" s="3"/>
      <c r="F49" s="3"/>
      <c r="G49" s="3"/>
      <c r="H49" s="3"/>
      <c r="I49" s="3"/>
      <c r="L49" s="2"/>
    </row>
    <row r="50" spans="1:12" x14ac:dyDescent="0.2">
      <c r="A50" s="3"/>
      <c r="B50" s="59">
        <f t="shared" si="2"/>
        <v>0.04</v>
      </c>
      <c r="C50" s="58">
        <f t="shared" si="0"/>
        <v>-7.4711733122084317E-2</v>
      </c>
      <c r="D50" s="57">
        <f t="shared" si="1"/>
        <v>-7.0470657764029818E-2</v>
      </c>
      <c r="E50" s="3"/>
      <c r="F50" s="3"/>
      <c r="G50" s="3"/>
      <c r="H50" s="3"/>
      <c r="I50" s="3"/>
      <c r="L50" s="2"/>
    </row>
    <row r="51" spans="1:12" x14ac:dyDescent="0.2">
      <c r="A51" s="3"/>
      <c r="B51" s="59">
        <f t="shared" si="2"/>
        <v>0.05</v>
      </c>
      <c r="C51" s="58">
        <f t="shared" si="0"/>
        <v>-9.3389666402605404E-2</v>
      </c>
      <c r="D51" s="57">
        <f t="shared" si="1"/>
        <v>-8.6762986155645247E-2</v>
      </c>
      <c r="E51" s="3"/>
      <c r="F51" s="3"/>
      <c r="G51" s="3"/>
      <c r="H51" s="3"/>
      <c r="I51" s="3"/>
      <c r="L51" s="2"/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L52" s="2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L53" s="2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L54" s="2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L55" s="2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L56" s="2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L57" s="2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L58" s="2"/>
    </row>
    <row r="59" spans="1:12" x14ac:dyDescent="0.2">
      <c r="A59" s="6" t="s">
        <v>16</v>
      </c>
      <c r="B59" s="3"/>
      <c r="C59" s="4"/>
      <c r="D59" s="3"/>
      <c r="E59" s="3"/>
      <c r="F59" s="3"/>
      <c r="G59" s="3"/>
      <c r="H59" s="3"/>
      <c r="I59" s="3"/>
    </row>
    <row r="60" spans="1:12" x14ac:dyDescent="0.2">
      <c r="A60" s="3"/>
      <c r="B60" s="3" t="s">
        <v>74</v>
      </c>
      <c r="C60" s="3"/>
      <c r="D60" s="3"/>
      <c r="E60" s="3"/>
      <c r="F60" s="3"/>
      <c r="G60" s="3"/>
      <c r="H60" s="3"/>
      <c r="I60" s="3"/>
    </row>
    <row r="61" spans="1:12" x14ac:dyDescent="0.2">
      <c r="A61" s="3"/>
      <c r="B61" s="3" t="s">
        <v>73</v>
      </c>
      <c r="C61" s="3"/>
      <c r="D61" s="3"/>
      <c r="E61" s="3"/>
      <c r="F61" s="3"/>
      <c r="G61" s="3"/>
      <c r="H61" s="3"/>
      <c r="I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2" x14ac:dyDescent="0.2">
      <c r="A63" s="5" t="s">
        <v>5</v>
      </c>
      <c r="B63" s="3"/>
      <c r="C63" s="3"/>
      <c r="D63" s="3"/>
      <c r="E63" s="3"/>
      <c r="F63" s="3"/>
      <c r="G63" s="3"/>
      <c r="H63" s="3"/>
      <c r="I63" s="3"/>
    </row>
    <row r="64" spans="1:12" x14ac:dyDescent="0.2">
      <c r="A64" s="3" t="s">
        <v>72</v>
      </c>
      <c r="B64" s="3"/>
      <c r="C64" s="3"/>
      <c r="D64" s="3"/>
      <c r="E64" s="3"/>
      <c r="F64" s="3"/>
      <c r="G64" s="3"/>
      <c r="H64" s="3"/>
      <c r="I64" s="3"/>
    </row>
    <row r="65" spans="1:14" x14ac:dyDescent="0.2">
      <c r="A65" s="3" t="s">
        <v>71</v>
      </c>
      <c r="B65" s="3"/>
      <c r="C65" s="3"/>
      <c r="D65" s="3"/>
      <c r="E65" s="3"/>
      <c r="F65" s="3"/>
      <c r="G65" s="3"/>
      <c r="H65" s="3"/>
      <c r="I65" s="3"/>
    </row>
    <row r="66" spans="1:14" x14ac:dyDescent="0.2">
      <c r="A66" s="3" t="s">
        <v>70</v>
      </c>
      <c r="B66" s="3"/>
      <c r="C66" s="3"/>
      <c r="D66" s="3"/>
      <c r="E66" s="3"/>
      <c r="F66" s="3"/>
      <c r="G66" s="3"/>
      <c r="H66" s="3"/>
      <c r="I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14" x14ac:dyDescent="0.2">
      <c r="A68" s="5" t="s">
        <v>1</v>
      </c>
      <c r="B68" s="3"/>
      <c r="C68" s="3"/>
      <c r="D68" s="3"/>
      <c r="E68" s="3"/>
      <c r="F68" s="3"/>
      <c r="G68" s="3"/>
      <c r="H68" s="3"/>
      <c r="I68" s="3"/>
    </row>
    <row r="69" spans="1:14" x14ac:dyDescent="0.2">
      <c r="A69" s="3" t="s">
        <v>43</v>
      </c>
      <c r="B69" s="3"/>
      <c r="C69" s="3"/>
      <c r="D69" s="3"/>
      <c r="E69" s="3"/>
      <c r="F69" s="3"/>
      <c r="G69" s="3"/>
      <c r="H69" s="3"/>
      <c r="I69" s="3"/>
    </row>
    <row r="70" spans="1:14" x14ac:dyDescent="0.2">
      <c r="A70" s="6"/>
      <c r="B70" s="3"/>
      <c r="C70" s="4"/>
      <c r="D70" s="3"/>
      <c r="E70" s="3"/>
      <c r="F70" s="3"/>
      <c r="G70" s="3"/>
      <c r="H70" s="3"/>
      <c r="I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L71" s="3"/>
      <c r="M71" s="4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2"/>
      <c r="M79" s="2"/>
      <c r="N79" s="2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2"/>
      <c r="M80" s="2"/>
      <c r="N80" s="2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L81" s="3"/>
      <c r="M81" s="4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L82" s="2"/>
      <c r="M82" s="2"/>
      <c r="N82" s="2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L83" s="2"/>
      <c r="M83" s="2"/>
      <c r="N83" s="2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L84" s="2"/>
      <c r="M84" s="2"/>
      <c r="N84" s="2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L85" s="2"/>
      <c r="M85" s="2"/>
      <c r="N85" s="2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L86" s="2"/>
      <c r="M86" s="2"/>
      <c r="N86" s="2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L87" s="2"/>
      <c r="M87" s="2"/>
      <c r="N87" s="2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L88" s="2"/>
      <c r="M88" s="2"/>
      <c r="N88" s="2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L89" s="2"/>
      <c r="M89" s="2"/>
      <c r="N89" s="2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L90" s="2"/>
      <c r="M90" s="2"/>
      <c r="N90" s="2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L91" s="3"/>
      <c r="M91" s="4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L92" s="2"/>
      <c r="M92" s="2"/>
      <c r="N92" s="2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L93" s="2"/>
      <c r="M93" s="2"/>
      <c r="N93" s="2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L94" s="2"/>
      <c r="M94" s="2"/>
      <c r="N94" s="2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L95" s="2"/>
      <c r="M95" s="2"/>
      <c r="N95" s="2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L96" s="2"/>
      <c r="M96" s="2"/>
      <c r="N96" s="2"/>
    </row>
    <row r="97" spans="1:65" x14ac:dyDescent="0.2">
      <c r="A97" s="3"/>
      <c r="B97" s="3"/>
      <c r="C97" s="3"/>
      <c r="D97" s="3"/>
      <c r="E97" s="3"/>
      <c r="F97" s="3"/>
      <c r="G97" s="3"/>
      <c r="H97" s="3"/>
      <c r="I97" s="3"/>
      <c r="L97" s="2"/>
      <c r="M97" s="2"/>
      <c r="N97" s="2"/>
    </row>
    <row r="98" spans="1:65" x14ac:dyDescent="0.2">
      <c r="A98" s="3"/>
      <c r="B98" s="3"/>
      <c r="C98" s="3"/>
      <c r="D98" s="3"/>
      <c r="E98" s="3"/>
      <c r="F98" s="3"/>
      <c r="G98" s="3"/>
      <c r="H98" s="3"/>
      <c r="I98" s="3"/>
      <c r="L98" s="2"/>
      <c r="M98" s="2"/>
      <c r="N98" s="2"/>
    </row>
    <row r="99" spans="1:65" x14ac:dyDescent="0.2">
      <c r="A99" s="3"/>
      <c r="B99" s="3"/>
      <c r="C99" s="3"/>
      <c r="D99" s="3"/>
      <c r="E99" s="3"/>
      <c r="F99" s="3"/>
      <c r="G99" s="3"/>
      <c r="H99" s="3"/>
      <c r="I99" s="3"/>
      <c r="L99" s="2"/>
      <c r="M99" s="2"/>
      <c r="N99" s="2"/>
    </row>
    <row r="100" spans="1:65" x14ac:dyDescent="0.2">
      <c r="A100" s="3"/>
      <c r="B100" s="3"/>
      <c r="C100" s="3"/>
      <c r="D100" s="3"/>
      <c r="E100" s="3"/>
      <c r="F100" s="3"/>
      <c r="G100" s="3"/>
      <c r="H100" s="3"/>
      <c r="I100" s="3"/>
      <c r="L100" s="2"/>
      <c r="M100" s="2"/>
      <c r="N100" s="2"/>
    </row>
    <row r="101" spans="1:65" x14ac:dyDescent="0.2">
      <c r="A101" s="3"/>
      <c r="B101" s="3"/>
      <c r="C101" s="3"/>
      <c r="D101" s="3"/>
      <c r="E101" s="3"/>
      <c r="F101" s="3"/>
      <c r="G101" s="3"/>
      <c r="H101" s="3"/>
      <c r="I101" s="3"/>
      <c r="L101" s="3"/>
      <c r="M101" s="4"/>
      <c r="N101" s="3"/>
    </row>
    <row r="102" spans="1:65" x14ac:dyDescent="0.2">
      <c r="A102" s="3"/>
      <c r="B102" s="3"/>
      <c r="C102" s="3"/>
      <c r="D102" s="3"/>
      <c r="E102" s="3"/>
      <c r="F102" s="3"/>
      <c r="G102" s="3"/>
      <c r="H102" s="3"/>
      <c r="I102" s="3"/>
      <c r="L102" s="2"/>
      <c r="M102" s="2"/>
      <c r="N102" s="2"/>
    </row>
    <row r="103" spans="1:65" x14ac:dyDescent="0.2">
      <c r="A103" s="3"/>
      <c r="B103" s="3"/>
      <c r="C103" s="3"/>
      <c r="D103" s="3"/>
      <c r="E103" s="3"/>
      <c r="F103" s="3"/>
      <c r="G103" s="3"/>
      <c r="H103" s="3"/>
      <c r="I103" s="3"/>
      <c r="L103" s="2"/>
      <c r="M103" s="2"/>
      <c r="N103" s="2"/>
    </row>
    <row r="104" spans="1:65" x14ac:dyDescent="0.2">
      <c r="A104" s="3"/>
      <c r="B104" s="3"/>
      <c r="C104" s="3"/>
      <c r="D104" s="3"/>
      <c r="E104" s="3"/>
      <c r="F104" s="3"/>
      <c r="G104" s="3"/>
      <c r="H104" s="3"/>
      <c r="I104" s="3"/>
      <c r="L104" s="2"/>
      <c r="M104" s="2"/>
      <c r="N104" s="2"/>
    </row>
    <row r="105" spans="1:65" x14ac:dyDescent="0.2">
      <c r="A105" s="3"/>
      <c r="B105" s="3"/>
      <c r="C105" s="3"/>
      <c r="D105" s="3"/>
      <c r="E105" s="3"/>
      <c r="F105" s="3"/>
      <c r="G105" s="3"/>
      <c r="H105" s="3"/>
      <c r="I105" s="3"/>
      <c r="L105" s="2"/>
      <c r="M105" s="2"/>
      <c r="N105" s="2"/>
    </row>
    <row r="106" spans="1:65" x14ac:dyDescent="0.2">
      <c r="A106" s="3"/>
      <c r="B106" s="3"/>
      <c r="C106" s="3"/>
      <c r="D106" s="3"/>
      <c r="E106" s="3"/>
      <c r="F106" s="3"/>
      <c r="G106" s="3"/>
      <c r="H106" s="3"/>
      <c r="I106" s="3"/>
      <c r="L106" s="2"/>
      <c r="M106" s="2"/>
      <c r="N106" s="2"/>
    </row>
    <row r="107" spans="1:65" x14ac:dyDescent="0.2">
      <c r="A107" s="3"/>
      <c r="B107" s="3"/>
      <c r="C107" s="3"/>
      <c r="D107" s="3"/>
      <c r="E107" s="3"/>
      <c r="F107" s="3"/>
      <c r="G107" s="3"/>
      <c r="H107" s="3"/>
      <c r="I107" s="3"/>
      <c r="L107" s="2"/>
      <c r="M107" s="2"/>
      <c r="N107" s="2"/>
    </row>
    <row r="108" spans="1:65" x14ac:dyDescent="0.2">
      <c r="A108" s="3"/>
      <c r="B108" s="3"/>
      <c r="C108" s="3"/>
      <c r="D108" s="3"/>
      <c r="E108" s="3"/>
      <c r="F108" s="3"/>
      <c r="G108" s="3"/>
      <c r="H108" s="3"/>
      <c r="I108" s="3"/>
      <c r="L108" s="2"/>
      <c r="M108" s="2"/>
      <c r="N108" s="2"/>
    </row>
    <row r="109" spans="1:65" x14ac:dyDescent="0.2">
      <c r="A109" s="3"/>
      <c r="B109" s="3"/>
      <c r="C109" s="3"/>
      <c r="D109" s="3"/>
      <c r="E109" s="3"/>
      <c r="F109" s="3"/>
      <c r="G109" s="3"/>
      <c r="H109" s="3"/>
      <c r="I109" s="3"/>
      <c r="L109" s="2"/>
      <c r="M109" s="2"/>
      <c r="N109" s="2"/>
    </row>
    <row r="110" spans="1:65" x14ac:dyDescent="0.2">
      <c r="A110" s="3"/>
      <c r="B110" s="3"/>
      <c r="C110" s="3"/>
      <c r="D110" s="3"/>
      <c r="E110" s="3"/>
      <c r="F110" s="3"/>
      <c r="G110" s="3"/>
      <c r="H110" s="3"/>
      <c r="I110" s="3"/>
      <c r="L110" s="2"/>
      <c r="M110" s="2"/>
      <c r="N110" s="2"/>
    </row>
    <row r="111" spans="1:65" x14ac:dyDescent="0.2">
      <c r="A111" s="3"/>
      <c r="B111" s="3"/>
      <c r="C111" s="3"/>
      <c r="D111" s="3"/>
      <c r="E111" s="3"/>
      <c r="F111" s="3"/>
      <c r="G111" s="3"/>
      <c r="H111" s="3"/>
      <c r="I111" s="3"/>
      <c r="L111" s="3"/>
      <c r="M111" s="4"/>
      <c r="N111" s="3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</sheetData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96D0-C3B8-5F41-9B48-B3D053E5469F}">
  <dimension ref="A1:BM181"/>
  <sheetViews>
    <sheetView zoomScale="130" zoomScaleNormal="130" workbookViewId="0"/>
  </sheetViews>
  <sheetFormatPr baseColWidth="10" defaultRowHeight="16" x14ac:dyDescent="0.2"/>
  <cols>
    <col min="1" max="3" width="10.83203125" style="1"/>
    <col min="4" max="4" width="8.6640625" style="1" customWidth="1"/>
    <col min="5" max="16384" width="10.83203125" style="1"/>
  </cols>
  <sheetData>
    <row r="1" spans="1:10" ht="19" x14ac:dyDescent="0.25">
      <c r="A1" s="35" t="s">
        <v>114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113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29" t="s">
        <v>112</v>
      </c>
      <c r="E5" s="114"/>
      <c r="F5" s="29"/>
      <c r="G5" s="115">
        <v>1080</v>
      </c>
      <c r="H5" s="29"/>
      <c r="I5" s="29"/>
      <c r="J5" s="28"/>
    </row>
    <row r="6" spans="1:10" x14ac:dyDescent="0.2">
      <c r="A6" s="30"/>
      <c r="B6" s="29"/>
      <c r="C6" s="29"/>
      <c r="D6" s="29" t="s">
        <v>111</v>
      </c>
      <c r="E6" s="29"/>
      <c r="F6" s="29"/>
      <c r="G6" s="116">
        <v>4.4999999999999998E-2</v>
      </c>
      <c r="H6" s="29"/>
      <c r="I6" s="29"/>
      <c r="J6" s="28"/>
    </row>
    <row r="7" spans="1:10" x14ac:dyDescent="0.2">
      <c r="A7" s="30"/>
      <c r="B7" s="29"/>
      <c r="C7" s="29"/>
      <c r="D7" s="29"/>
      <c r="E7" s="29"/>
      <c r="F7" s="29"/>
      <c r="G7" s="29"/>
      <c r="H7" s="29"/>
      <c r="I7" s="29"/>
      <c r="J7" s="28"/>
    </row>
    <row r="8" spans="1:10" x14ac:dyDescent="0.2">
      <c r="A8" s="30"/>
      <c r="B8" s="29" t="s">
        <v>110</v>
      </c>
      <c r="C8" s="29"/>
      <c r="D8" s="29"/>
      <c r="E8" s="29"/>
      <c r="F8" s="29"/>
      <c r="G8" s="29"/>
      <c r="H8" s="29"/>
      <c r="I8" s="29"/>
      <c r="J8" s="28"/>
    </row>
    <row r="9" spans="1:10" x14ac:dyDescent="0.2">
      <c r="A9" s="30"/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/>
      <c r="C10" s="29"/>
      <c r="D10" s="29"/>
      <c r="E10" s="71"/>
      <c r="F10" s="141" t="s">
        <v>109</v>
      </c>
      <c r="G10" s="29"/>
      <c r="H10" s="29"/>
      <c r="I10" s="29"/>
      <c r="J10" s="28"/>
    </row>
    <row r="11" spans="1:10" x14ac:dyDescent="0.2">
      <c r="A11" s="30"/>
      <c r="B11" s="29"/>
      <c r="C11" s="29"/>
      <c r="D11" s="29"/>
      <c r="E11" s="71"/>
      <c r="F11" s="141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70" t="s">
        <v>108</v>
      </c>
      <c r="F12" s="142"/>
      <c r="G12" s="29"/>
      <c r="H12" s="29"/>
      <c r="I12" s="29"/>
      <c r="J12" s="28"/>
    </row>
    <row r="13" spans="1:10" x14ac:dyDescent="0.2">
      <c r="A13" s="30"/>
      <c r="B13" s="29"/>
      <c r="C13" s="29"/>
      <c r="D13" s="29"/>
      <c r="E13" s="69">
        <v>970</v>
      </c>
      <c r="F13" s="68">
        <v>4.8000000000000001E-2</v>
      </c>
      <c r="G13" s="29"/>
      <c r="H13" s="29"/>
      <c r="I13" s="29"/>
      <c r="J13" s="28"/>
    </row>
    <row r="14" spans="1:10" x14ac:dyDescent="0.2">
      <c r="A14" s="30"/>
      <c r="B14" s="29"/>
      <c r="C14" s="29"/>
      <c r="D14" s="29"/>
      <c r="E14" s="69">
        <v>990</v>
      </c>
      <c r="F14" s="68">
        <v>4.4999999999999998E-2</v>
      </c>
      <c r="G14" s="29"/>
      <c r="H14" s="29"/>
      <c r="I14" s="29"/>
      <c r="J14" s="28"/>
    </row>
    <row r="15" spans="1:10" x14ac:dyDescent="0.2">
      <c r="A15" s="30"/>
      <c r="B15" s="29"/>
      <c r="C15" s="29"/>
      <c r="D15" s="29"/>
      <c r="E15" s="69">
        <v>1005</v>
      </c>
      <c r="F15" s="68">
        <v>4.2000000000000003E-2</v>
      </c>
      <c r="G15" s="29"/>
      <c r="H15" s="29"/>
      <c r="I15" s="29"/>
      <c r="J15" s="28"/>
    </row>
    <row r="16" spans="1:10" x14ac:dyDescent="0.2">
      <c r="A16" s="30"/>
      <c r="B16" s="29"/>
      <c r="C16" s="29"/>
      <c r="D16" s="29"/>
      <c r="E16" s="29"/>
      <c r="F16" s="29"/>
      <c r="G16" s="29"/>
      <c r="H16" s="29"/>
      <c r="I16" s="29"/>
      <c r="J16" s="28"/>
    </row>
    <row r="17" spans="1:12" x14ac:dyDescent="0.2">
      <c r="A17" s="30"/>
      <c r="B17" s="29" t="s">
        <v>34</v>
      </c>
      <c r="C17" s="29"/>
      <c r="D17" s="29"/>
      <c r="E17" s="29"/>
      <c r="F17" s="29"/>
      <c r="G17" s="29"/>
      <c r="H17" s="29"/>
      <c r="I17" s="29"/>
      <c r="J17" s="28"/>
    </row>
    <row r="18" spans="1:12" x14ac:dyDescent="0.2">
      <c r="A18" s="30"/>
      <c r="B18" s="29" t="s">
        <v>107</v>
      </c>
      <c r="C18" s="29"/>
      <c r="D18" s="29"/>
      <c r="E18" s="29"/>
      <c r="F18" s="29"/>
      <c r="G18" s="29"/>
      <c r="H18" s="29"/>
      <c r="I18" s="29"/>
      <c r="J18" s="28"/>
    </row>
    <row r="19" spans="1:12" x14ac:dyDescent="0.2">
      <c r="A19" s="30"/>
      <c r="B19" s="29"/>
      <c r="C19" s="29"/>
      <c r="D19" s="29"/>
      <c r="E19" s="29"/>
      <c r="F19" s="29"/>
      <c r="G19" s="29"/>
      <c r="H19" s="29"/>
      <c r="I19" s="29"/>
      <c r="J19" s="28"/>
    </row>
    <row r="20" spans="1:12" x14ac:dyDescent="0.2">
      <c r="A20" s="30"/>
      <c r="B20" s="29" t="s">
        <v>32</v>
      </c>
      <c r="C20" s="29"/>
      <c r="D20" s="29"/>
      <c r="E20" s="29"/>
      <c r="F20" s="29"/>
      <c r="G20" s="29"/>
      <c r="H20" s="29"/>
      <c r="I20" s="29"/>
      <c r="J20" s="28"/>
    </row>
    <row r="21" spans="1:12" x14ac:dyDescent="0.2">
      <c r="A21" s="30"/>
      <c r="B21" s="29" t="s">
        <v>106</v>
      </c>
      <c r="C21" s="29"/>
      <c r="D21" s="29"/>
      <c r="E21" s="29"/>
      <c r="F21" s="29"/>
      <c r="G21" s="29"/>
      <c r="H21" s="29"/>
      <c r="I21" s="29"/>
      <c r="J21" s="28"/>
    </row>
    <row r="22" spans="1:12" x14ac:dyDescent="0.2">
      <c r="A22" s="30"/>
      <c r="B22" s="29"/>
      <c r="C22" s="29"/>
      <c r="D22" s="29"/>
      <c r="E22" s="29"/>
      <c r="F22" s="29"/>
      <c r="G22" s="29"/>
      <c r="H22" s="29"/>
      <c r="I22" s="29"/>
      <c r="J22" s="28"/>
    </row>
    <row r="23" spans="1:12" x14ac:dyDescent="0.2">
      <c r="A23" s="30"/>
      <c r="B23" s="29" t="s">
        <v>30</v>
      </c>
      <c r="C23" s="29"/>
      <c r="D23" s="29"/>
      <c r="E23" s="29"/>
      <c r="F23" s="29"/>
      <c r="G23" s="29"/>
      <c r="H23" s="29"/>
      <c r="I23" s="29"/>
      <c r="J23" s="28"/>
    </row>
    <row r="24" spans="1:12" x14ac:dyDescent="0.2">
      <c r="A24" s="30"/>
      <c r="B24" s="29" t="s">
        <v>105</v>
      </c>
      <c r="C24" s="29"/>
      <c r="D24" s="29"/>
      <c r="E24" s="29"/>
      <c r="F24" s="29"/>
      <c r="G24" s="29"/>
      <c r="H24" s="29"/>
      <c r="I24" s="29"/>
      <c r="J24" s="28"/>
    </row>
    <row r="25" spans="1:12" ht="17" thickBot="1" x14ac:dyDescent="0.25">
      <c r="A25" s="27"/>
      <c r="B25" s="25"/>
      <c r="C25" s="26"/>
      <c r="D25" s="26"/>
      <c r="E25" s="26"/>
      <c r="F25" s="25"/>
      <c r="G25" s="25"/>
      <c r="H25" s="25"/>
      <c r="I25" s="25"/>
      <c r="J25" s="24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2" ht="19" x14ac:dyDescent="0.25">
      <c r="A27" s="23" t="s">
        <v>25</v>
      </c>
      <c r="B27" s="3"/>
      <c r="C27" s="3"/>
      <c r="D27" s="3"/>
      <c r="E27" s="3"/>
      <c r="F27" s="3"/>
      <c r="G27" s="3"/>
      <c r="H27" s="3"/>
      <c r="I27" s="3"/>
    </row>
    <row r="28" spans="1:12" x14ac:dyDescent="0.2">
      <c r="A28" s="6" t="s">
        <v>24</v>
      </c>
      <c r="B28" s="3"/>
      <c r="C28" s="4"/>
      <c r="D28" s="3"/>
      <c r="E28" s="3"/>
      <c r="F28" s="3"/>
      <c r="G28" s="3"/>
      <c r="H28" s="3"/>
      <c r="I28" s="3"/>
    </row>
    <row r="29" spans="1:12" ht="18" x14ac:dyDescent="0.25">
      <c r="A29" s="3"/>
      <c r="B29" s="40" t="s">
        <v>104</v>
      </c>
      <c r="C29" s="67" t="s">
        <v>103</v>
      </c>
      <c r="D29" s="3"/>
      <c r="E29" s="3"/>
      <c r="F29" s="3"/>
      <c r="G29" s="3"/>
      <c r="H29" s="3"/>
      <c r="I29" s="3"/>
    </row>
    <row r="30" spans="1:12" x14ac:dyDescent="0.2">
      <c r="A30" s="3"/>
      <c r="B30" s="3"/>
      <c r="C30" s="66" t="s">
        <v>102</v>
      </c>
      <c r="D30" s="3"/>
      <c r="E30" s="3"/>
      <c r="F30" s="3"/>
      <c r="G30" s="3"/>
      <c r="H30" s="3"/>
      <c r="I30" s="3"/>
      <c r="L30" s="2"/>
    </row>
    <row r="31" spans="1:12" ht="17" thickBot="1" x14ac:dyDescent="0.25">
      <c r="A31" s="3"/>
      <c r="B31" s="3"/>
      <c r="C31" s="3"/>
      <c r="D31" s="3"/>
      <c r="E31" s="3"/>
      <c r="F31" s="3"/>
      <c r="G31" s="3"/>
      <c r="H31" s="3"/>
      <c r="I31" s="3"/>
      <c r="L31" s="2"/>
    </row>
    <row r="32" spans="1:12" ht="19" thickBot="1" x14ac:dyDescent="0.3">
      <c r="A32" s="3"/>
      <c r="B32" s="8" t="s">
        <v>101</v>
      </c>
      <c r="C32" s="65">
        <f>-(E13-E15)/E14/(F13-F15)</f>
        <v>5.8922558922558936</v>
      </c>
      <c r="D32" s="3"/>
      <c r="E32" s="3"/>
      <c r="F32" s="3"/>
      <c r="G32" s="3"/>
      <c r="H32" s="3"/>
      <c r="I32" s="3"/>
      <c r="L32" s="2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L33" s="2"/>
    </row>
    <row r="34" spans="1:14" x14ac:dyDescent="0.2">
      <c r="A34" s="6" t="s">
        <v>16</v>
      </c>
      <c r="B34" s="3"/>
      <c r="C34" s="4"/>
      <c r="D34" s="3"/>
      <c r="E34" s="3"/>
      <c r="F34" s="3"/>
      <c r="G34" s="3"/>
      <c r="H34" s="3"/>
      <c r="I34" s="3"/>
    </row>
    <row r="35" spans="1:14" x14ac:dyDescent="0.2">
      <c r="A35" s="3"/>
      <c r="B35" s="3" t="s">
        <v>100</v>
      </c>
      <c r="C35" s="3"/>
      <c r="D35" s="3"/>
      <c r="E35" s="3"/>
      <c r="F35" s="3"/>
      <c r="G35" s="3"/>
      <c r="H35" s="3"/>
      <c r="I35" s="3"/>
    </row>
    <row r="36" spans="1:14" x14ac:dyDescent="0.2">
      <c r="A36" s="3"/>
      <c r="B36" s="3" t="s">
        <v>99</v>
      </c>
      <c r="C36" s="3"/>
      <c r="D36" s="3"/>
      <c r="E36" s="3"/>
      <c r="F36" s="3"/>
      <c r="G36" s="3"/>
      <c r="H36" s="3"/>
      <c r="I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14" x14ac:dyDescent="0.2">
      <c r="A38" s="6" t="s">
        <v>14</v>
      </c>
      <c r="B38" s="3"/>
      <c r="C38" s="4"/>
      <c r="D38" s="3"/>
      <c r="E38" s="3"/>
      <c r="F38" s="3"/>
      <c r="G38" s="3"/>
      <c r="H38" s="3"/>
      <c r="I38" s="3"/>
    </row>
    <row r="39" spans="1:14" x14ac:dyDescent="0.2">
      <c r="A39" s="3"/>
      <c r="B39" s="3" t="s">
        <v>98</v>
      </c>
      <c r="C39" s="3"/>
      <c r="D39" s="3"/>
      <c r="E39" s="3"/>
      <c r="F39" s="3"/>
      <c r="G39" s="3"/>
      <c r="H39" s="3"/>
      <c r="I39" s="3"/>
      <c r="L39" s="3"/>
      <c r="M39" s="4"/>
      <c r="N39" s="3"/>
    </row>
    <row r="40" spans="1:14" x14ac:dyDescent="0.2">
      <c r="A40" s="3"/>
      <c r="B40" s="3" t="s">
        <v>97</v>
      </c>
      <c r="C40" s="3"/>
      <c r="D40" s="3"/>
      <c r="E40" s="3"/>
      <c r="F40" s="3"/>
      <c r="G40" s="3"/>
      <c r="H40" s="3"/>
      <c r="I40" s="3"/>
      <c r="L40" s="2"/>
      <c r="M40" s="2"/>
      <c r="N40" s="2"/>
    </row>
    <row r="41" spans="1:14" x14ac:dyDescent="0.2">
      <c r="A41" s="3"/>
      <c r="B41" s="3" t="s">
        <v>96</v>
      </c>
      <c r="C41" s="3"/>
      <c r="D41" s="3"/>
      <c r="E41" s="3"/>
      <c r="F41" s="3"/>
      <c r="G41" s="3"/>
      <c r="H41" s="3"/>
      <c r="I41" s="3"/>
      <c r="L41" s="2"/>
      <c r="M41" s="2"/>
      <c r="N41" s="2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L42" s="2"/>
      <c r="M42" s="2"/>
      <c r="N42" s="2"/>
    </row>
    <row r="43" spans="1:14" x14ac:dyDescent="0.2">
      <c r="A43" s="5" t="s">
        <v>5</v>
      </c>
      <c r="B43" s="3"/>
      <c r="C43" s="3"/>
      <c r="D43" s="3"/>
      <c r="E43" s="3"/>
      <c r="F43" s="3"/>
      <c r="G43" s="3"/>
      <c r="H43" s="3"/>
      <c r="I43" s="3"/>
      <c r="L43" s="2"/>
      <c r="M43" s="2"/>
      <c r="N43" s="2"/>
    </row>
    <row r="44" spans="1:14" x14ac:dyDescent="0.2">
      <c r="A44" s="3" t="s">
        <v>95</v>
      </c>
      <c r="B44" s="3"/>
      <c r="C44" s="3"/>
      <c r="D44" s="3"/>
      <c r="E44" s="3"/>
      <c r="F44" s="3"/>
      <c r="G44" s="3"/>
      <c r="H44" s="3"/>
      <c r="I44" s="3"/>
      <c r="L44" s="2"/>
      <c r="M44" s="2"/>
      <c r="N44" s="2"/>
    </row>
    <row r="45" spans="1:14" x14ac:dyDescent="0.2">
      <c r="A45" s="3" t="s">
        <v>94</v>
      </c>
      <c r="B45" s="3"/>
      <c r="C45" s="3"/>
      <c r="D45" s="3"/>
      <c r="E45" s="3"/>
      <c r="F45" s="3"/>
      <c r="G45" s="3"/>
      <c r="H45" s="3"/>
      <c r="I45" s="3"/>
      <c r="L45" s="2"/>
      <c r="M45" s="2"/>
      <c r="N45" s="2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L46" s="2"/>
      <c r="M46" s="2"/>
      <c r="N46" s="2"/>
    </row>
    <row r="47" spans="1:14" x14ac:dyDescent="0.2">
      <c r="A47" s="5" t="s">
        <v>1</v>
      </c>
      <c r="B47" s="3"/>
      <c r="C47" s="3"/>
      <c r="D47" s="3"/>
      <c r="E47" s="3"/>
      <c r="F47" s="3"/>
      <c r="G47" s="3"/>
      <c r="H47" s="3"/>
      <c r="I47" s="3"/>
      <c r="L47" s="2"/>
      <c r="M47" s="2"/>
      <c r="N47" s="2"/>
    </row>
    <row r="48" spans="1:14" x14ac:dyDescent="0.2">
      <c r="A48" s="3" t="s">
        <v>93</v>
      </c>
      <c r="B48" s="3"/>
      <c r="C48" s="3"/>
      <c r="D48" s="3"/>
      <c r="E48" s="3"/>
      <c r="F48" s="3"/>
      <c r="G48" s="3"/>
      <c r="H48" s="3"/>
      <c r="I48" s="3"/>
      <c r="L48" s="2"/>
      <c r="M48" s="2"/>
      <c r="N48" s="2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L49" s="3"/>
      <c r="M49" s="4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L50" s="2"/>
      <c r="M50" s="2"/>
      <c r="N50" s="2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L52" s="2"/>
      <c r="M52" s="2"/>
      <c r="N52" s="2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L54" s="2"/>
      <c r="M54" s="2"/>
      <c r="N54" s="2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L56" s="2"/>
      <c r="M56" s="2"/>
      <c r="N56" s="2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2"/>
      <c r="M58" s="2"/>
      <c r="N58" s="2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L59" s="3"/>
      <c r="M59" s="4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65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65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65" x14ac:dyDescent="0.2">
      <c r="A67" s="3"/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65" x14ac:dyDescent="0.2">
      <c r="A68" s="3"/>
      <c r="B68" s="3"/>
      <c r="C68" s="3"/>
      <c r="D68" s="3"/>
      <c r="E68" s="3"/>
      <c r="F68" s="3"/>
      <c r="G68" s="3"/>
      <c r="H68" s="3"/>
      <c r="I68" s="3"/>
      <c r="L68" s="2"/>
      <c r="M68" s="2"/>
      <c r="N68" s="2"/>
    </row>
    <row r="69" spans="1:65" x14ac:dyDescent="0.2">
      <c r="A69" s="3"/>
      <c r="B69" s="3"/>
      <c r="C69" s="3"/>
      <c r="D69" s="3"/>
      <c r="E69" s="3"/>
      <c r="F69" s="3"/>
      <c r="G69" s="3"/>
      <c r="H69" s="3"/>
      <c r="I69" s="3"/>
      <c r="L69" s="3"/>
      <c r="M69" s="4"/>
      <c r="N69" s="3"/>
    </row>
    <row r="70" spans="1:65" x14ac:dyDescent="0.2">
      <c r="A70" s="3"/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65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65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65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65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65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65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65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65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65" x14ac:dyDescent="0.2">
      <c r="A79" s="3"/>
      <c r="B79" s="3"/>
      <c r="C79" s="3"/>
      <c r="D79" s="3"/>
      <c r="E79" s="3"/>
      <c r="F79" s="3"/>
      <c r="G79" s="3"/>
      <c r="H79" s="3"/>
      <c r="I79" s="3"/>
      <c r="L79" s="3"/>
      <c r="M79" s="4"/>
      <c r="N79" s="3"/>
    </row>
    <row r="80" spans="1:6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</sheetData>
  <mergeCells count="1">
    <mergeCell ref="F10:F1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49E6E-7357-CC47-A554-9E890F750848}">
  <dimension ref="A1:BM217"/>
  <sheetViews>
    <sheetView tabSelected="1" topLeftCell="A30" zoomScale="130" zoomScaleNormal="130" workbookViewId="0">
      <selection activeCell="E51" sqref="E51"/>
    </sheetView>
  </sheetViews>
  <sheetFormatPr baseColWidth="10" defaultRowHeight="16" x14ac:dyDescent="0.2"/>
  <cols>
    <col min="1" max="5" width="10.83203125" style="1"/>
    <col min="6" max="6" width="11.33203125" style="1" customWidth="1"/>
    <col min="7" max="16384" width="10.83203125" style="1"/>
  </cols>
  <sheetData>
    <row r="1" spans="1:10" ht="19" x14ac:dyDescent="0.25">
      <c r="A1" s="105" t="s">
        <v>145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x14ac:dyDescent="0.2">
      <c r="A2" s="30"/>
      <c r="B2" s="108"/>
      <c r="C2" s="108"/>
      <c r="D2" s="108"/>
      <c r="E2" s="108"/>
      <c r="F2" s="108"/>
      <c r="G2" s="108"/>
      <c r="H2" s="108"/>
      <c r="I2" s="108"/>
      <c r="J2" s="28"/>
    </row>
    <row r="3" spans="1:10" x14ac:dyDescent="0.2">
      <c r="A3" s="30"/>
      <c r="B3" s="108" t="s">
        <v>144</v>
      </c>
      <c r="C3" s="108"/>
      <c r="D3" s="108"/>
      <c r="E3" s="108"/>
      <c r="F3" s="108"/>
      <c r="G3" s="108"/>
      <c r="H3" s="108"/>
      <c r="I3" s="108"/>
      <c r="J3" s="28"/>
    </row>
    <row r="4" spans="1:10" x14ac:dyDescent="0.2">
      <c r="A4" s="30"/>
      <c r="B4" s="108" t="s">
        <v>143</v>
      </c>
      <c r="C4" s="108"/>
      <c r="D4" s="108"/>
      <c r="E4" s="108"/>
      <c r="F4" s="108"/>
      <c r="G4" s="108"/>
      <c r="H4" s="108"/>
      <c r="I4" s="108"/>
      <c r="J4" s="28"/>
    </row>
    <row r="5" spans="1:10" x14ac:dyDescent="0.2">
      <c r="A5" s="30"/>
      <c r="B5" s="108"/>
      <c r="C5" s="108"/>
      <c r="D5" s="108"/>
      <c r="E5" s="108"/>
      <c r="F5" s="108"/>
      <c r="G5" s="108"/>
      <c r="H5" s="108"/>
      <c r="I5" s="108"/>
      <c r="J5" s="28"/>
    </row>
    <row r="6" spans="1:10" x14ac:dyDescent="0.2">
      <c r="A6" s="30"/>
      <c r="B6" s="108"/>
      <c r="C6" s="108"/>
      <c r="D6" s="109" t="s">
        <v>142</v>
      </c>
      <c r="E6" s="110">
        <v>25000</v>
      </c>
      <c r="F6" s="108"/>
      <c r="G6" s="108"/>
      <c r="H6" s="108"/>
      <c r="I6" s="108"/>
      <c r="J6" s="28"/>
    </row>
    <row r="7" spans="1:10" x14ac:dyDescent="0.2">
      <c r="A7" s="30"/>
      <c r="B7" s="108"/>
      <c r="C7" s="108"/>
      <c r="D7" s="109" t="s">
        <v>141</v>
      </c>
      <c r="E7" s="111">
        <v>0.05</v>
      </c>
      <c r="F7" s="108"/>
      <c r="G7" s="108"/>
      <c r="H7" s="108"/>
      <c r="I7" s="108"/>
      <c r="J7" s="28"/>
    </row>
    <row r="8" spans="1:10" x14ac:dyDescent="0.2">
      <c r="A8" s="30"/>
      <c r="B8" s="108"/>
      <c r="C8" s="108"/>
      <c r="D8" s="109"/>
      <c r="E8" s="111"/>
      <c r="F8" s="108"/>
      <c r="G8" s="108"/>
      <c r="H8" s="108"/>
      <c r="I8" s="108"/>
      <c r="J8" s="28"/>
    </row>
    <row r="9" spans="1:10" x14ac:dyDescent="0.2">
      <c r="A9" s="30"/>
      <c r="B9" s="108"/>
      <c r="C9" s="108"/>
      <c r="D9" s="109" t="s">
        <v>235</v>
      </c>
      <c r="E9" s="110">
        <v>500</v>
      </c>
      <c r="F9" s="108"/>
      <c r="G9" s="108"/>
      <c r="H9" s="108"/>
      <c r="I9" s="108"/>
      <c r="J9" s="28"/>
    </row>
    <row r="10" spans="1:10" x14ac:dyDescent="0.2">
      <c r="A10" s="30"/>
      <c r="B10" s="108"/>
      <c r="C10" s="108"/>
      <c r="D10" s="109"/>
      <c r="E10" s="110"/>
      <c r="F10" s="108"/>
      <c r="G10" s="108"/>
      <c r="H10" s="108"/>
      <c r="I10" s="108"/>
      <c r="J10" s="28"/>
    </row>
    <row r="11" spans="1:10" x14ac:dyDescent="0.2">
      <c r="A11" s="30"/>
      <c r="B11" s="108"/>
      <c r="C11" s="108"/>
      <c r="D11" s="109" t="s">
        <v>140</v>
      </c>
      <c r="E11" s="110">
        <v>10000</v>
      </c>
      <c r="F11" s="108"/>
      <c r="G11" s="108"/>
      <c r="H11" s="108"/>
      <c r="I11" s="108"/>
      <c r="J11" s="28"/>
    </row>
    <row r="12" spans="1:10" x14ac:dyDescent="0.2">
      <c r="A12" s="30"/>
      <c r="B12" s="108"/>
      <c r="C12" s="108"/>
      <c r="D12" s="109" t="s">
        <v>234</v>
      </c>
      <c r="E12" s="111">
        <v>0.05</v>
      </c>
      <c r="F12" s="108"/>
      <c r="G12" s="108"/>
      <c r="H12" s="108"/>
      <c r="I12" s="108"/>
      <c r="J12" s="28"/>
    </row>
    <row r="13" spans="1:10" x14ac:dyDescent="0.2">
      <c r="A13" s="30"/>
      <c r="B13" s="108"/>
      <c r="C13" s="108"/>
      <c r="D13" s="109" t="s">
        <v>139</v>
      </c>
      <c r="E13" s="117">
        <v>5</v>
      </c>
      <c r="F13" s="108"/>
      <c r="G13" s="108"/>
      <c r="H13" s="108"/>
      <c r="I13" s="108"/>
      <c r="J13" s="28"/>
    </row>
    <row r="14" spans="1:10" x14ac:dyDescent="0.2">
      <c r="A14" s="30"/>
      <c r="B14" s="108"/>
      <c r="C14" s="108"/>
      <c r="D14" s="108"/>
      <c r="E14" s="108"/>
      <c r="F14" s="108"/>
      <c r="G14" s="108"/>
      <c r="H14" s="108"/>
      <c r="I14" s="108"/>
      <c r="J14" s="28"/>
    </row>
    <row r="15" spans="1:10" x14ac:dyDescent="0.2">
      <c r="A15" s="30"/>
      <c r="B15" s="108" t="s">
        <v>138</v>
      </c>
      <c r="C15" s="108"/>
      <c r="D15" s="108"/>
      <c r="E15" s="108"/>
      <c r="F15" s="108"/>
      <c r="G15" s="108"/>
      <c r="H15" s="108"/>
      <c r="I15" s="108"/>
      <c r="J15" s="28"/>
    </row>
    <row r="16" spans="1:10" x14ac:dyDescent="0.2">
      <c r="A16" s="30"/>
      <c r="B16" s="108"/>
      <c r="C16" s="108"/>
      <c r="D16" s="108"/>
      <c r="E16" s="108"/>
      <c r="F16" s="108"/>
      <c r="G16" s="108"/>
      <c r="H16" s="108"/>
      <c r="I16" s="108"/>
      <c r="J16" s="28"/>
    </row>
    <row r="17" spans="1:12" x14ac:dyDescent="0.2">
      <c r="A17" s="30"/>
      <c r="B17" s="108" t="s">
        <v>34</v>
      </c>
      <c r="C17" s="108"/>
      <c r="D17" s="108"/>
      <c r="E17" s="108"/>
      <c r="F17" s="108"/>
      <c r="G17" s="108"/>
      <c r="H17" s="108"/>
      <c r="I17" s="108"/>
      <c r="J17" s="28"/>
    </row>
    <row r="18" spans="1:12" x14ac:dyDescent="0.2">
      <c r="A18" s="30"/>
      <c r="B18" s="108" t="s">
        <v>137</v>
      </c>
      <c r="C18" s="108"/>
      <c r="D18" s="108"/>
      <c r="E18" s="108"/>
      <c r="F18" s="108"/>
      <c r="G18" s="108"/>
      <c r="H18" s="108"/>
      <c r="I18" s="108"/>
      <c r="J18" s="28"/>
    </row>
    <row r="19" spans="1:12" x14ac:dyDescent="0.2">
      <c r="A19" s="30"/>
      <c r="B19" s="108"/>
      <c r="C19" s="108"/>
      <c r="D19" s="108"/>
      <c r="E19" s="108"/>
      <c r="F19" s="108"/>
      <c r="G19" s="108"/>
      <c r="H19" s="108"/>
      <c r="I19" s="108"/>
      <c r="J19" s="28"/>
    </row>
    <row r="20" spans="1:12" x14ac:dyDescent="0.2">
      <c r="A20" s="30"/>
      <c r="B20" s="108" t="s">
        <v>32</v>
      </c>
      <c r="C20" s="108"/>
      <c r="D20" s="108"/>
      <c r="E20" s="108"/>
      <c r="F20" s="108"/>
      <c r="G20" s="108"/>
      <c r="H20" s="108"/>
      <c r="I20" s="108"/>
      <c r="J20" s="28"/>
    </row>
    <row r="21" spans="1:12" x14ac:dyDescent="0.2">
      <c r="A21" s="30"/>
      <c r="B21" s="108" t="s">
        <v>136</v>
      </c>
      <c r="C21" s="108"/>
      <c r="D21" s="108"/>
      <c r="E21" s="108"/>
      <c r="F21" s="108"/>
      <c r="G21" s="108"/>
      <c r="H21" s="108"/>
      <c r="I21" s="108"/>
      <c r="J21" s="28"/>
    </row>
    <row r="22" spans="1:12" x14ac:dyDescent="0.2">
      <c r="A22" s="30"/>
      <c r="B22" s="108"/>
      <c r="C22" s="108"/>
      <c r="D22" s="108"/>
      <c r="E22" s="108"/>
      <c r="F22" s="108"/>
      <c r="G22" s="108"/>
      <c r="H22" s="108"/>
      <c r="I22" s="108"/>
      <c r="J22" s="28"/>
    </row>
    <row r="23" spans="1:12" x14ac:dyDescent="0.2">
      <c r="A23" s="30"/>
      <c r="B23" s="108" t="s">
        <v>30</v>
      </c>
      <c r="C23" s="108"/>
      <c r="D23" s="108"/>
      <c r="E23" s="108"/>
      <c r="F23" s="108"/>
      <c r="G23" s="108"/>
      <c r="H23" s="108"/>
      <c r="I23" s="108"/>
      <c r="J23" s="28"/>
    </row>
    <row r="24" spans="1:12" x14ac:dyDescent="0.2">
      <c r="A24" s="30"/>
      <c r="B24" s="108" t="s">
        <v>135</v>
      </c>
      <c r="C24" s="108"/>
      <c r="D24" s="108"/>
      <c r="E24" s="108"/>
      <c r="F24" s="108"/>
      <c r="G24" s="108"/>
      <c r="H24" s="108"/>
      <c r="I24" s="108"/>
      <c r="J24" s="28"/>
    </row>
    <row r="25" spans="1:12" ht="17" thickBot="1" x14ac:dyDescent="0.25">
      <c r="A25" s="112"/>
      <c r="B25" s="25"/>
      <c r="C25" s="25"/>
      <c r="D25" s="25"/>
      <c r="E25" s="25"/>
      <c r="F25" s="25"/>
      <c r="G25" s="25"/>
      <c r="H25" s="25"/>
      <c r="I25" s="25"/>
      <c r="J25" s="24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2" ht="19" x14ac:dyDescent="0.25">
      <c r="A27" s="23" t="s">
        <v>25</v>
      </c>
      <c r="B27" s="3"/>
      <c r="C27" s="3"/>
      <c r="D27" s="3"/>
      <c r="E27" s="3"/>
      <c r="F27" s="3"/>
      <c r="G27" s="3"/>
      <c r="H27" s="3"/>
      <c r="I27" s="3"/>
    </row>
    <row r="28" spans="1:12" x14ac:dyDescent="0.2">
      <c r="A28" s="6" t="s">
        <v>24</v>
      </c>
      <c r="B28" s="3"/>
      <c r="C28" s="4"/>
      <c r="D28" s="3"/>
      <c r="E28" s="3"/>
      <c r="F28" s="3"/>
      <c r="G28" s="3"/>
      <c r="H28" s="3"/>
      <c r="I28" s="3"/>
    </row>
    <row r="29" spans="1:12" x14ac:dyDescent="0.2">
      <c r="A29" s="3"/>
      <c r="B29" s="86" t="s">
        <v>133</v>
      </c>
      <c r="C29" s="3"/>
      <c r="D29" s="3"/>
      <c r="E29" s="3"/>
      <c r="F29" s="86" t="s">
        <v>132</v>
      </c>
      <c r="G29" s="3"/>
      <c r="H29" s="3"/>
      <c r="I29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/>
      <c r="L30" s="2"/>
    </row>
    <row r="31" spans="1:12" ht="18" x14ac:dyDescent="0.25">
      <c r="A31" s="3"/>
      <c r="B31" s="40" t="s">
        <v>131</v>
      </c>
      <c r="C31" s="9">
        <v>5</v>
      </c>
      <c r="D31" s="3"/>
      <c r="E31" s="3"/>
      <c r="F31" s="20" t="s">
        <v>130</v>
      </c>
      <c r="G31" s="22" t="s">
        <v>21</v>
      </c>
      <c r="H31" s="22" t="s">
        <v>20</v>
      </c>
      <c r="I31" s="22" t="s">
        <v>19</v>
      </c>
      <c r="L31" s="2"/>
    </row>
    <row r="32" spans="1:12" x14ac:dyDescent="0.2">
      <c r="A32" s="3"/>
      <c r="B32" s="40" t="s">
        <v>129</v>
      </c>
      <c r="C32" s="80">
        <f>E6/((1+E7)^C31)</f>
        <v>19588.154161711474</v>
      </c>
      <c r="D32" s="3"/>
      <c r="E32" s="3"/>
      <c r="F32" s="16">
        <v>1</v>
      </c>
      <c r="G32" s="85">
        <f>E11*E12</f>
        <v>500</v>
      </c>
      <c r="H32" s="39">
        <f>G32/((1+E$7)^F32)</f>
        <v>476.19047619047615</v>
      </c>
      <c r="I32" s="84">
        <f>F32*H32</f>
        <v>476.19047619047615</v>
      </c>
      <c r="L32" s="2"/>
    </row>
    <row r="33" spans="1:12" x14ac:dyDescent="0.2">
      <c r="A33" s="3"/>
      <c r="B33" s="3"/>
      <c r="C33" s="3"/>
      <c r="D33" s="3"/>
      <c r="E33" s="3"/>
      <c r="F33" s="16">
        <v>2</v>
      </c>
      <c r="G33" s="85">
        <f>G32</f>
        <v>500</v>
      </c>
      <c r="H33" s="39">
        <f>G33/((1+E$7)^F33)</f>
        <v>453.51473922902494</v>
      </c>
      <c r="I33" s="84">
        <f>F33*H33</f>
        <v>907.02947845804988</v>
      </c>
      <c r="L33" s="2"/>
    </row>
    <row r="34" spans="1:12" x14ac:dyDescent="0.2">
      <c r="A34" s="3"/>
      <c r="B34" s="86" t="s">
        <v>128</v>
      </c>
      <c r="C34" s="3"/>
      <c r="D34" s="3"/>
      <c r="E34" s="3"/>
      <c r="F34" s="16">
        <v>3</v>
      </c>
      <c r="G34" s="85">
        <f>G33</f>
        <v>500</v>
      </c>
      <c r="H34" s="39">
        <f>G34/((1+E$7)^F34)</f>
        <v>431.91879926573802</v>
      </c>
      <c r="I34" s="84">
        <f>F34*H34</f>
        <v>1295.756397797214</v>
      </c>
      <c r="L34" s="2"/>
    </row>
    <row r="35" spans="1:12" x14ac:dyDescent="0.2">
      <c r="A35" s="3"/>
      <c r="B35" s="3"/>
      <c r="C35" s="3"/>
      <c r="D35" s="3"/>
      <c r="E35" s="3"/>
      <c r="F35" s="16">
        <v>4</v>
      </c>
      <c r="G35" s="85">
        <f>G34</f>
        <v>500</v>
      </c>
      <c r="H35" s="39">
        <f>G35/((1+E$7)^F35)</f>
        <v>411.35123739594098</v>
      </c>
      <c r="I35" s="84">
        <f>F35*H35</f>
        <v>1645.4049495837639</v>
      </c>
      <c r="L35" s="2"/>
    </row>
    <row r="36" spans="1:12" x14ac:dyDescent="0.2">
      <c r="A36" s="3"/>
      <c r="B36" s="40" t="s">
        <v>17</v>
      </c>
      <c r="C36" s="74">
        <f>(1+E7)/E7</f>
        <v>21</v>
      </c>
      <c r="D36" s="3"/>
      <c r="E36" s="3"/>
      <c r="F36" s="20">
        <v>5</v>
      </c>
      <c r="G36" s="83">
        <f>E11+G35</f>
        <v>10500</v>
      </c>
      <c r="H36" s="82">
        <f>G36/((1+E$7)^F36)</f>
        <v>8227.0247479188183</v>
      </c>
      <c r="I36" s="81">
        <f>F36*H36</f>
        <v>41135.123739594092</v>
      </c>
      <c r="L36" s="2"/>
    </row>
    <row r="37" spans="1:12" x14ac:dyDescent="0.2">
      <c r="A37" s="3"/>
      <c r="B37" s="40" t="s">
        <v>127</v>
      </c>
      <c r="C37" s="80">
        <f>E9/E7</f>
        <v>10000</v>
      </c>
      <c r="D37" s="3"/>
      <c r="E37" s="3"/>
      <c r="F37" s="16" t="s">
        <v>18</v>
      </c>
      <c r="G37" s="9">
        <f>SUM(G32:G36)</f>
        <v>12500</v>
      </c>
      <c r="H37" s="77">
        <f>SUM(H32:H36)</f>
        <v>9999.9999999999982</v>
      </c>
      <c r="I37" s="77">
        <f>SUM(I32:I36)</f>
        <v>45459.505041623597</v>
      </c>
      <c r="L37" s="2"/>
    </row>
    <row r="38" spans="1:12" x14ac:dyDescent="0.2">
      <c r="A38" s="3"/>
      <c r="B38" s="3"/>
      <c r="C38" s="3"/>
      <c r="D38" s="3"/>
      <c r="E38" s="3"/>
      <c r="F38" s="9"/>
      <c r="G38" s="9"/>
      <c r="H38" s="77"/>
      <c r="I38" s="77"/>
      <c r="L38" s="2"/>
    </row>
    <row r="39" spans="1:12" x14ac:dyDescent="0.2">
      <c r="A39" s="3"/>
      <c r="B39" s="3"/>
      <c r="C39" s="3"/>
      <c r="D39" s="3"/>
      <c r="E39" s="3"/>
      <c r="F39" s="9"/>
      <c r="G39" s="9"/>
      <c r="H39" s="77" t="s">
        <v>17</v>
      </c>
      <c r="I39" s="79">
        <f>I37/H37</f>
        <v>4.5459505041623602</v>
      </c>
      <c r="L39" s="2"/>
    </row>
    <row r="40" spans="1:12" x14ac:dyDescent="0.2">
      <c r="A40" s="3"/>
      <c r="B40" s="3"/>
      <c r="C40" s="3"/>
      <c r="D40" s="3"/>
      <c r="E40" s="3"/>
      <c r="F40" s="9"/>
      <c r="G40" s="9"/>
      <c r="H40" s="77" t="s">
        <v>127</v>
      </c>
      <c r="I40" s="77">
        <f>H37</f>
        <v>9999.9999999999982</v>
      </c>
      <c r="L40" s="2"/>
    </row>
    <row r="41" spans="1:12" x14ac:dyDescent="0.2">
      <c r="A41" s="3"/>
      <c r="B41" s="3"/>
      <c r="C41" s="3"/>
      <c r="D41" s="3"/>
      <c r="E41" s="3"/>
      <c r="F41" s="9"/>
      <c r="G41" s="9"/>
      <c r="H41" s="77"/>
      <c r="I41" s="77"/>
      <c r="L41" s="2"/>
    </row>
    <row r="42" spans="1:12" x14ac:dyDescent="0.2">
      <c r="A42" s="3"/>
      <c r="B42" s="3"/>
      <c r="C42" s="3"/>
      <c r="D42" s="3"/>
      <c r="E42" s="3"/>
      <c r="F42" s="118" t="s">
        <v>236</v>
      </c>
      <c r="G42" s="56"/>
      <c r="H42" s="77"/>
      <c r="I42" s="77"/>
      <c r="L42" s="2"/>
    </row>
    <row r="43" spans="1:12" x14ac:dyDescent="0.2">
      <c r="A43" s="3"/>
      <c r="B43" s="78" t="s">
        <v>126</v>
      </c>
      <c r="C43" s="3"/>
      <c r="D43" s="3"/>
      <c r="E43" s="3"/>
      <c r="G43" s="9"/>
      <c r="H43" s="77"/>
      <c r="I43" s="77"/>
      <c r="L43" s="2"/>
    </row>
    <row r="44" spans="1:12" x14ac:dyDescent="0.2">
      <c r="A44" s="3"/>
      <c r="B44" s="3" t="s">
        <v>134</v>
      </c>
      <c r="C44" s="3"/>
      <c r="D44" s="3"/>
      <c r="E44" s="3"/>
      <c r="F44" s="9"/>
      <c r="G44" s="9"/>
      <c r="H44" s="77"/>
      <c r="I44" s="77"/>
      <c r="L44" s="2"/>
    </row>
    <row r="45" spans="1:12" x14ac:dyDescent="0.2">
      <c r="A45" s="3"/>
      <c r="B45" s="3"/>
      <c r="C45" s="3"/>
      <c r="D45" s="3"/>
      <c r="E45" s="3"/>
      <c r="F45" s="9"/>
      <c r="G45" s="9"/>
      <c r="H45" s="77"/>
      <c r="I45" s="77"/>
      <c r="L45" s="2"/>
    </row>
    <row r="46" spans="1:12" ht="18" x14ac:dyDescent="0.25">
      <c r="A46" s="3"/>
      <c r="B46" s="40" t="s">
        <v>124</v>
      </c>
      <c r="C46" s="58">
        <f>(C31-I39)/(C36-I39)</f>
        <v>2.7595000000000005E-2</v>
      </c>
      <c r="D46" s="3"/>
      <c r="E46" s="3"/>
      <c r="F46" s="9"/>
      <c r="G46" s="9"/>
      <c r="H46" s="77"/>
      <c r="I46" s="77"/>
      <c r="L46" s="2"/>
    </row>
    <row r="47" spans="1:12" ht="18" x14ac:dyDescent="0.25">
      <c r="A47" s="3"/>
      <c r="B47" s="40" t="s">
        <v>123</v>
      </c>
      <c r="C47" s="57">
        <f>1-C46</f>
        <v>0.97240499999999996</v>
      </c>
      <c r="D47" s="3"/>
      <c r="E47" s="3"/>
      <c r="F47" s="9"/>
      <c r="G47" s="9"/>
      <c r="H47" s="77"/>
      <c r="I47" s="77"/>
      <c r="L47" s="2"/>
    </row>
    <row r="48" spans="1:12" ht="17" thickBot="1" x14ac:dyDescent="0.25">
      <c r="A48" s="3"/>
      <c r="B48" s="3"/>
      <c r="C48" s="3"/>
      <c r="D48" s="3"/>
      <c r="E48" s="3" t="s">
        <v>122</v>
      </c>
      <c r="F48" s="9"/>
      <c r="G48" s="9"/>
      <c r="H48" s="77"/>
      <c r="I48" s="77"/>
      <c r="L48" s="2"/>
    </row>
    <row r="49" spans="1:14" x14ac:dyDescent="0.2">
      <c r="A49" s="3"/>
      <c r="B49" s="40" t="s">
        <v>121</v>
      </c>
      <c r="C49" s="74">
        <f>C46*C$32</f>
        <v>540.53511409242822</v>
      </c>
      <c r="D49" s="3"/>
      <c r="E49" s="76">
        <f>C49/C37</f>
        <v>5.4053511409242819E-2</v>
      </c>
      <c r="F49" s="75" t="s">
        <v>120</v>
      </c>
      <c r="G49" s="9"/>
      <c r="H49" s="77"/>
      <c r="I49" s="77"/>
      <c r="L49" s="2"/>
    </row>
    <row r="50" spans="1:14" ht="17" thickBot="1" x14ac:dyDescent="0.25">
      <c r="A50" s="3"/>
      <c r="B50" s="40" t="s">
        <v>119</v>
      </c>
      <c r="C50" s="74">
        <f>C47*C$32</f>
        <v>19047.619047619046</v>
      </c>
      <c r="D50" s="3"/>
      <c r="E50" s="73">
        <f>C50/I40</f>
        <v>1.9047619047619049</v>
      </c>
      <c r="F50" s="72" t="s">
        <v>118</v>
      </c>
      <c r="G50" s="9"/>
      <c r="H50" s="77"/>
      <c r="I50" s="77"/>
      <c r="L50" s="2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/>
      <c r="L51" s="2"/>
    </row>
    <row r="52" spans="1:14" x14ac:dyDescent="0.2">
      <c r="A52" s="6" t="s">
        <v>16</v>
      </c>
      <c r="B52" s="3"/>
      <c r="C52" s="4"/>
      <c r="D52" s="3"/>
      <c r="E52" s="3"/>
      <c r="F52" s="3"/>
      <c r="G52" s="3"/>
      <c r="H52" s="3"/>
      <c r="I52" s="3"/>
      <c r="J52"/>
    </row>
    <row r="53" spans="1:14" x14ac:dyDescent="0.2">
      <c r="A53" s="3"/>
      <c r="B53" s="86" t="s">
        <v>133</v>
      </c>
      <c r="C53" s="3"/>
      <c r="D53" s="3"/>
      <c r="E53" s="3"/>
      <c r="F53" s="86" t="s">
        <v>132</v>
      </c>
      <c r="G53" s="3"/>
      <c r="H53" s="3"/>
      <c r="I5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/>
    </row>
    <row r="55" spans="1:14" ht="18" x14ac:dyDescent="0.25">
      <c r="A55" s="3"/>
      <c r="B55" s="40" t="s">
        <v>131</v>
      </c>
      <c r="C55" s="9">
        <f>C31-1</f>
        <v>4</v>
      </c>
      <c r="D55" s="3"/>
      <c r="E55" s="3"/>
      <c r="F55" s="20" t="s">
        <v>130</v>
      </c>
      <c r="G55" s="22" t="s">
        <v>21</v>
      </c>
      <c r="H55" s="22" t="s">
        <v>20</v>
      </c>
      <c r="I55" s="22" t="s">
        <v>19</v>
      </c>
    </row>
    <row r="56" spans="1:14" x14ac:dyDescent="0.2">
      <c r="A56" s="3"/>
      <c r="B56" s="40" t="s">
        <v>129</v>
      </c>
      <c r="C56" s="125">
        <f>E6/((1+E7)^C55)</f>
        <v>20567.561869797049</v>
      </c>
      <c r="D56" s="3"/>
      <c r="E56" s="3"/>
      <c r="F56" s="16">
        <v>1</v>
      </c>
      <c r="G56" s="85">
        <f>G32</f>
        <v>500</v>
      </c>
      <c r="H56" s="39">
        <f>G56/((1+E$7)^F56)</f>
        <v>476.19047619047615</v>
      </c>
      <c r="I56" s="84">
        <f>F56*H56</f>
        <v>476.19047619047615</v>
      </c>
    </row>
    <row r="57" spans="1:14" x14ac:dyDescent="0.2">
      <c r="A57" s="3"/>
      <c r="B57" s="3"/>
      <c r="C57" s="3"/>
      <c r="D57" s="3"/>
      <c r="E57" s="3"/>
      <c r="F57" s="16">
        <v>2</v>
      </c>
      <c r="G57" s="85">
        <f>G56</f>
        <v>500</v>
      </c>
      <c r="H57" s="39">
        <f>G57/((1+E$7)^F57)</f>
        <v>453.51473922902494</v>
      </c>
      <c r="I57" s="84">
        <f>F57*H57</f>
        <v>907.02947845804988</v>
      </c>
    </row>
    <row r="58" spans="1:14" x14ac:dyDescent="0.2">
      <c r="A58" s="3"/>
      <c r="B58" s="86" t="s">
        <v>128</v>
      </c>
      <c r="C58" s="3"/>
      <c r="D58" s="3"/>
      <c r="E58" s="3"/>
      <c r="F58" s="16">
        <v>3</v>
      </c>
      <c r="G58" s="85">
        <f>G57</f>
        <v>500</v>
      </c>
      <c r="H58" s="39">
        <f>G58/((1+E$7)^F58)</f>
        <v>431.91879926573802</v>
      </c>
      <c r="I58" s="84">
        <f>F58*H58</f>
        <v>1295.756397797214</v>
      </c>
    </row>
    <row r="59" spans="1:14" x14ac:dyDescent="0.2">
      <c r="A59" s="3"/>
      <c r="B59" s="3"/>
      <c r="C59" s="3"/>
      <c r="D59" s="3"/>
      <c r="E59" s="3"/>
      <c r="F59" s="20">
        <v>4</v>
      </c>
      <c r="G59" s="83">
        <f>G36</f>
        <v>10500</v>
      </c>
      <c r="H59" s="82">
        <f>G59/((1+E$7)^F59)</f>
        <v>8638.3759853147603</v>
      </c>
      <c r="I59" s="81">
        <f>F59*H59</f>
        <v>34553.503941259041</v>
      </c>
    </row>
    <row r="60" spans="1:14" x14ac:dyDescent="0.2">
      <c r="A60" s="3"/>
      <c r="B60" s="40" t="s">
        <v>17</v>
      </c>
      <c r="C60" s="74">
        <f>C36</f>
        <v>21</v>
      </c>
      <c r="D60" s="3"/>
      <c r="E60" s="3"/>
      <c r="F60" s="16" t="s">
        <v>18</v>
      </c>
      <c r="G60" s="9">
        <f>SUM(G56:G59)</f>
        <v>12000</v>
      </c>
      <c r="H60" s="77">
        <f>SUM(H56:H59)</f>
        <v>10000</v>
      </c>
      <c r="I60" s="77">
        <f>SUM(I56:I59)</f>
        <v>37232.480293704779</v>
      </c>
    </row>
    <row r="61" spans="1:14" x14ac:dyDescent="0.2">
      <c r="A61" s="3"/>
      <c r="B61" s="40" t="s">
        <v>127</v>
      </c>
      <c r="C61" s="80">
        <f>C37</f>
        <v>10000</v>
      </c>
      <c r="D61" s="3"/>
      <c r="E61" s="3"/>
      <c r="F61" s="9"/>
      <c r="G61" s="9"/>
      <c r="H61" s="77"/>
      <c r="I61" s="77"/>
    </row>
    <row r="62" spans="1:14" x14ac:dyDescent="0.2">
      <c r="A62" s="3"/>
      <c r="B62" s="40"/>
      <c r="C62" s="80"/>
      <c r="D62" s="3"/>
      <c r="E62" s="3"/>
      <c r="F62" s="9"/>
      <c r="G62" s="9"/>
      <c r="H62" s="77" t="s">
        <v>17</v>
      </c>
      <c r="I62" s="79">
        <f>I60/H60</f>
        <v>3.7232480293704779</v>
      </c>
    </row>
    <row r="63" spans="1:14" x14ac:dyDescent="0.2">
      <c r="A63" s="6"/>
      <c r="B63" s="3" t="s">
        <v>237</v>
      </c>
      <c r="C63" s="3"/>
      <c r="D63" s="3"/>
      <c r="E63" s="3"/>
      <c r="F63" s="9"/>
      <c r="G63" s="9"/>
      <c r="H63" s="77" t="s">
        <v>127</v>
      </c>
      <c r="I63" s="77">
        <f>H60</f>
        <v>10000</v>
      </c>
    </row>
    <row r="64" spans="1:14" x14ac:dyDescent="0.2">
      <c r="A64" s="3"/>
      <c r="B64" s="3" t="s">
        <v>238</v>
      </c>
      <c r="C64" s="3"/>
      <c r="D64" s="3"/>
      <c r="E64" s="3"/>
      <c r="F64" s="9"/>
      <c r="G64" s="9"/>
      <c r="H64" s="77"/>
      <c r="I64" s="77"/>
      <c r="L64" s="3"/>
      <c r="M64" s="4"/>
      <c r="N64" s="3"/>
    </row>
    <row r="65" spans="1:14" x14ac:dyDescent="0.2">
      <c r="A65" s="3"/>
      <c r="B65" s="3"/>
      <c r="C65" s="3"/>
      <c r="D65" s="3"/>
      <c r="E65" s="3"/>
      <c r="F65" s="9"/>
      <c r="G65" s="9"/>
      <c r="H65" s="77"/>
      <c r="I65" s="77"/>
      <c r="L65" s="2"/>
      <c r="M65" s="2"/>
      <c r="N65" s="2"/>
    </row>
    <row r="66" spans="1:14" x14ac:dyDescent="0.2">
      <c r="A66" s="3"/>
      <c r="B66" s="3"/>
      <c r="C66" s="3"/>
      <c r="D66" s="3"/>
      <c r="E66" s="3"/>
      <c r="F66" s="9"/>
      <c r="G66" s="9"/>
      <c r="H66" s="77"/>
      <c r="I66" s="77"/>
      <c r="L66" s="2"/>
      <c r="M66" s="2"/>
      <c r="N66" s="2"/>
    </row>
    <row r="67" spans="1:14" x14ac:dyDescent="0.2">
      <c r="A67" s="3"/>
      <c r="B67" s="5" t="s">
        <v>240</v>
      </c>
      <c r="C67" s="3"/>
      <c r="D67" s="3"/>
      <c r="F67" s="56"/>
      <c r="G67" s="56"/>
      <c r="H67" s="77"/>
      <c r="I67" s="77"/>
      <c r="L67" s="2"/>
      <c r="M67" s="2"/>
      <c r="N67" s="2"/>
    </row>
    <row r="68" spans="1:14" x14ac:dyDescent="0.2">
      <c r="A68" s="3"/>
      <c r="B68" s="121"/>
      <c r="C68" s="120" t="s">
        <v>242</v>
      </c>
      <c r="D68" s="3"/>
      <c r="F68" s="56"/>
      <c r="G68" s="56"/>
      <c r="H68" s="77"/>
      <c r="I68" s="77"/>
      <c r="L68" s="2"/>
      <c r="M68" s="2"/>
      <c r="N68" s="2"/>
    </row>
    <row r="69" spans="1:14" x14ac:dyDescent="0.2">
      <c r="A69" s="3"/>
      <c r="B69" s="122" t="s">
        <v>128</v>
      </c>
      <c r="C69" s="119">
        <f>E49*C61</f>
        <v>540.53511409242822</v>
      </c>
      <c r="D69" s="3"/>
      <c r="F69" s="56"/>
      <c r="G69" s="56"/>
      <c r="H69" s="77"/>
      <c r="I69" s="77"/>
      <c r="L69" s="2"/>
      <c r="M69" s="2"/>
      <c r="N69" s="2"/>
    </row>
    <row r="70" spans="1:14" x14ac:dyDescent="0.2">
      <c r="A70" s="3"/>
      <c r="B70" s="122" t="s">
        <v>132</v>
      </c>
      <c r="C70" s="119">
        <f>E50*I63</f>
        <v>19047.61904761905</v>
      </c>
      <c r="D70" s="3"/>
      <c r="E70" s="3"/>
      <c r="F70" s="56"/>
      <c r="G70" s="56"/>
      <c r="H70" s="77"/>
      <c r="I70" s="77"/>
      <c r="L70" s="2"/>
      <c r="M70" s="2"/>
      <c r="N70" s="2"/>
    </row>
    <row r="71" spans="1:14" x14ac:dyDescent="0.2">
      <c r="A71" s="3"/>
      <c r="B71" s="121" t="s">
        <v>241</v>
      </c>
      <c r="C71" s="137">
        <f>E50*500+E49*500</f>
        <v>979.40770808557386</v>
      </c>
      <c r="D71" s="3"/>
      <c r="E71" s="5" t="s">
        <v>256</v>
      </c>
      <c r="F71" s="56"/>
      <c r="G71" s="56"/>
      <c r="H71" s="77"/>
      <c r="I71" s="77"/>
      <c r="L71" s="2"/>
      <c r="M71" s="2"/>
      <c r="N71" s="2"/>
    </row>
    <row r="72" spans="1:14" x14ac:dyDescent="0.2">
      <c r="A72" s="3"/>
      <c r="B72" s="122" t="s">
        <v>243</v>
      </c>
      <c r="C72" s="119">
        <f>SUM(C69:C71)</f>
        <v>20567.561869797053</v>
      </c>
      <c r="D72" s="3"/>
      <c r="E72" s="3" t="s">
        <v>257</v>
      </c>
      <c r="F72" s="56"/>
      <c r="G72" s="56"/>
      <c r="H72" s="77"/>
      <c r="I72" s="77"/>
      <c r="L72" s="2"/>
      <c r="M72" s="2"/>
      <c r="N72" s="2"/>
    </row>
    <row r="73" spans="1:14" x14ac:dyDescent="0.2">
      <c r="A73" s="3"/>
      <c r="B73" s="123" t="s">
        <v>244</v>
      </c>
      <c r="C73" s="119">
        <f>C72-C56</f>
        <v>0</v>
      </c>
      <c r="D73" s="3"/>
      <c r="E73" s="3"/>
      <c r="F73" s="56"/>
      <c r="G73" s="56"/>
      <c r="H73" s="77"/>
      <c r="I73" s="77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56"/>
      <c r="G74" s="56"/>
      <c r="H74" s="77"/>
      <c r="I74" s="77"/>
      <c r="L74" s="2"/>
      <c r="M74" s="2"/>
      <c r="N74" s="2"/>
    </row>
    <row r="75" spans="1:14" x14ac:dyDescent="0.2">
      <c r="A75" s="3"/>
      <c r="B75" s="124" t="s">
        <v>245</v>
      </c>
      <c r="C75" s="3"/>
      <c r="D75" s="3"/>
      <c r="E75" s="3"/>
      <c r="F75" s="56"/>
      <c r="G75" s="56"/>
      <c r="H75" s="77"/>
      <c r="I75" s="77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56"/>
      <c r="G76" s="56"/>
      <c r="H76" s="77"/>
      <c r="I76" s="77"/>
      <c r="L76" s="2"/>
      <c r="M76" s="2"/>
      <c r="N76" s="2"/>
    </row>
    <row r="77" spans="1:14" x14ac:dyDescent="0.2">
      <c r="A77" s="3"/>
      <c r="B77" s="78" t="s">
        <v>126</v>
      </c>
      <c r="C77" s="3"/>
      <c r="D77" s="3"/>
      <c r="E77" s="3"/>
      <c r="F77" s="9"/>
      <c r="G77" s="9"/>
      <c r="H77" s="77"/>
      <c r="I77" s="77"/>
      <c r="L77" s="2"/>
      <c r="M77" s="2"/>
      <c r="N77" s="2"/>
    </row>
    <row r="78" spans="1:14" x14ac:dyDescent="0.2">
      <c r="A78" s="3"/>
      <c r="B78" s="3" t="s">
        <v>125</v>
      </c>
      <c r="C78" s="3"/>
      <c r="D78" s="3"/>
      <c r="E78" s="3"/>
      <c r="F78" s="9"/>
      <c r="G78" s="9"/>
      <c r="H78" s="77"/>
      <c r="I78" s="77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9"/>
      <c r="G79" s="9"/>
      <c r="H79" s="77"/>
      <c r="I79" s="77"/>
      <c r="L79" s="2"/>
      <c r="M79" s="2"/>
      <c r="N79" s="2"/>
    </row>
    <row r="80" spans="1:14" ht="18" x14ac:dyDescent="0.25">
      <c r="A80" s="3"/>
      <c r="B80" s="40" t="s">
        <v>124</v>
      </c>
      <c r="C80" s="58">
        <f>(C55-I62)/(C60-I62)</f>
        <v>1.6018750000000023E-2</v>
      </c>
      <c r="D80" s="3"/>
      <c r="E80" s="3"/>
      <c r="F80" s="9"/>
      <c r="G80" s="9"/>
      <c r="H80" s="77"/>
      <c r="I80" s="77"/>
      <c r="L80" s="2"/>
      <c r="M80" s="2"/>
      <c r="N80" s="2"/>
    </row>
    <row r="81" spans="1:14" ht="18" x14ac:dyDescent="0.25">
      <c r="A81" s="3"/>
      <c r="B81" s="40" t="s">
        <v>123</v>
      </c>
      <c r="C81" s="57">
        <f>1-C80</f>
        <v>0.98398125000000003</v>
      </c>
      <c r="D81" s="3"/>
      <c r="E81" s="3"/>
      <c r="F81" s="9"/>
      <c r="G81" s="9"/>
      <c r="H81" s="77"/>
      <c r="I81" s="77"/>
      <c r="L81" s="2"/>
      <c r="M81" s="2"/>
      <c r="N81" s="2"/>
    </row>
    <row r="82" spans="1:14" ht="17" thickBot="1" x14ac:dyDescent="0.25">
      <c r="A82" s="3"/>
      <c r="B82" s="3"/>
      <c r="C82" s="3"/>
      <c r="D82" s="3"/>
      <c r="E82" s="3" t="s">
        <v>239</v>
      </c>
      <c r="F82" s="9"/>
      <c r="G82" s="9"/>
      <c r="H82" s="77"/>
      <c r="I82" s="77"/>
      <c r="L82" s="2"/>
      <c r="M82" s="2"/>
      <c r="N82" s="2"/>
    </row>
    <row r="83" spans="1:14" x14ac:dyDescent="0.2">
      <c r="A83" s="3"/>
      <c r="B83" s="40" t="s">
        <v>121</v>
      </c>
      <c r="C83" s="74">
        <f>C80*C$56</f>
        <v>329.46663170181193</v>
      </c>
      <c r="D83" s="3"/>
      <c r="E83" s="76">
        <f>C83/C61</f>
        <v>3.2946663170181197E-2</v>
      </c>
      <c r="F83" s="75" t="s">
        <v>120</v>
      </c>
      <c r="G83" s="9"/>
      <c r="H83" s="3"/>
      <c r="I83" s="119"/>
      <c r="L83" s="2"/>
      <c r="M83" s="2"/>
      <c r="N83" s="2"/>
    </row>
    <row r="84" spans="1:14" ht="17" thickBot="1" x14ac:dyDescent="0.25">
      <c r="A84" s="3"/>
      <c r="B84" s="40" t="s">
        <v>119</v>
      </c>
      <c r="C84" s="74">
        <f>C81*C$56</f>
        <v>20238.09523809524</v>
      </c>
      <c r="D84" s="3"/>
      <c r="E84" s="73">
        <f>C84/C61</f>
        <v>2.0238095238095242</v>
      </c>
      <c r="F84" s="72" t="s">
        <v>118</v>
      </c>
      <c r="G84" s="9"/>
      <c r="H84" s="3"/>
      <c r="I84" s="119"/>
      <c r="L84" s="3"/>
      <c r="M84" s="4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L85" s="2"/>
      <c r="M85" s="2"/>
      <c r="N85" s="2"/>
    </row>
    <row r="86" spans="1:14" x14ac:dyDescent="0.2">
      <c r="A86" s="6" t="s">
        <v>14</v>
      </c>
      <c r="B86" s="3"/>
      <c r="C86" s="3"/>
      <c r="D86" s="3"/>
      <c r="E86" s="3"/>
      <c r="F86" s="3"/>
      <c r="G86" s="3"/>
      <c r="H86" s="3"/>
      <c r="I86" s="3"/>
      <c r="L86" s="2"/>
      <c r="M86" s="2"/>
      <c r="N86" s="2"/>
    </row>
    <row r="87" spans="1:14" x14ac:dyDescent="0.2">
      <c r="A87" s="3"/>
      <c r="B87" s="3" t="s">
        <v>117</v>
      </c>
      <c r="C87" s="3"/>
      <c r="D87" s="3"/>
      <c r="E87" s="3"/>
      <c r="F87" s="3"/>
      <c r="G87" s="3"/>
      <c r="H87" s="3"/>
      <c r="I87" s="3"/>
      <c r="L87" s="2"/>
      <c r="M87" s="2"/>
      <c r="N87" s="2"/>
    </row>
    <row r="88" spans="1:14" x14ac:dyDescent="0.2">
      <c r="A88" s="3"/>
      <c r="B88" s="3" t="s">
        <v>116</v>
      </c>
      <c r="C88" s="3"/>
      <c r="D88" s="3"/>
      <c r="E88" s="3"/>
      <c r="F88" s="3"/>
      <c r="G88" s="3"/>
      <c r="H88" s="3"/>
      <c r="I88" s="3"/>
      <c r="L88" s="2"/>
      <c r="M88" s="2"/>
      <c r="N88" s="2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L89" s="2"/>
      <c r="M89" s="2"/>
      <c r="N89" s="2"/>
    </row>
    <row r="90" spans="1:14" x14ac:dyDescent="0.2">
      <c r="A90" s="5" t="s">
        <v>1</v>
      </c>
      <c r="B90" s="3"/>
      <c r="C90" s="3"/>
      <c r="D90" s="3"/>
      <c r="E90" s="3"/>
      <c r="F90" s="3"/>
      <c r="G90" s="3"/>
      <c r="H90" s="3"/>
      <c r="I90" s="3"/>
      <c r="L90" s="2"/>
      <c r="M90" s="2"/>
      <c r="N90" s="2"/>
    </row>
    <row r="91" spans="1:14" x14ac:dyDescent="0.2">
      <c r="A91" s="3" t="s">
        <v>115</v>
      </c>
      <c r="B91" s="3"/>
      <c r="C91" s="3"/>
      <c r="D91" s="3"/>
      <c r="E91" s="3"/>
      <c r="F91" s="3"/>
      <c r="G91" s="3"/>
      <c r="H91" s="3"/>
      <c r="I91" s="3"/>
      <c r="L91" s="2"/>
      <c r="M91" s="2"/>
      <c r="N91" s="2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L92" s="2"/>
      <c r="M92" s="2"/>
      <c r="N92" s="2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L93" s="2"/>
      <c r="M93" s="2"/>
      <c r="N93" s="2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L94" s="3"/>
      <c r="M94" s="4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L95" s="2"/>
      <c r="M95" s="2"/>
      <c r="N95" s="2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L96" s="2"/>
      <c r="M96" s="2"/>
      <c r="N96" s="2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L97" s="2"/>
      <c r="M97" s="2"/>
      <c r="N97" s="2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L98" s="2"/>
      <c r="M98" s="2"/>
      <c r="N98" s="2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L99" s="2"/>
      <c r="M99" s="2"/>
      <c r="N99" s="2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L100" s="2"/>
      <c r="M100" s="2"/>
      <c r="N100" s="2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L101" s="2"/>
      <c r="M101" s="2"/>
      <c r="N101" s="2"/>
    </row>
    <row r="102" spans="1:14" x14ac:dyDescent="0.2">
      <c r="A102" s="3"/>
      <c r="B102" s="3"/>
      <c r="C102" s="3"/>
      <c r="D102" s="3"/>
      <c r="E102" s="3"/>
      <c r="F102" s="3"/>
      <c r="G102" s="3"/>
      <c r="H102" s="3"/>
      <c r="I102" s="3"/>
      <c r="L102" s="2"/>
      <c r="M102" s="2"/>
      <c r="N102" s="2"/>
    </row>
    <row r="103" spans="1:14" x14ac:dyDescent="0.2">
      <c r="A103" s="3"/>
      <c r="B103" s="3"/>
      <c r="C103" s="3"/>
      <c r="D103" s="3"/>
      <c r="E103" s="3"/>
      <c r="F103" s="3"/>
      <c r="G103" s="3"/>
      <c r="H103" s="3"/>
      <c r="I103" s="3"/>
      <c r="L103" s="2"/>
      <c r="M103" s="2"/>
      <c r="N103" s="2"/>
    </row>
    <row r="104" spans="1:14" x14ac:dyDescent="0.2">
      <c r="A104" s="3"/>
      <c r="B104" s="3"/>
      <c r="C104" s="3"/>
      <c r="D104" s="3"/>
      <c r="E104" s="3"/>
      <c r="F104" s="3"/>
      <c r="G104" s="3"/>
      <c r="H104" s="3"/>
      <c r="I104" s="3"/>
      <c r="L104" s="3"/>
      <c r="M104" s="4"/>
      <c r="N104" s="3"/>
    </row>
    <row r="105" spans="1:14" x14ac:dyDescent="0.2">
      <c r="A105" s="3"/>
      <c r="B105" s="3"/>
      <c r="C105" s="3"/>
      <c r="D105" s="3"/>
      <c r="E105" s="3"/>
      <c r="F105" s="3"/>
      <c r="G105" s="3"/>
      <c r="H105" s="3"/>
      <c r="I105" s="3"/>
      <c r="L105" s="2"/>
      <c r="M105" s="2"/>
      <c r="N105" s="2"/>
    </row>
    <row r="106" spans="1:14" x14ac:dyDescent="0.2">
      <c r="A106" s="3"/>
      <c r="B106" s="3"/>
      <c r="C106" s="3"/>
      <c r="D106" s="3"/>
      <c r="E106" s="3"/>
      <c r="F106" s="3"/>
      <c r="G106" s="3"/>
      <c r="H106" s="3"/>
      <c r="I106" s="3"/>
      <c r="L106" s="2"/>
      <c r="M106" s="2"/>
      <c r="N106" s="2"/>
    </row>
    <row r="107" spans="1:14" x14ac:dyDescent="0.2">
      <c r="A107" s="3"/>
      <c r="B107" s="3"/>
      <c r="C107" s="3"/>
      <c r="D107" s="3"/>
      <c r="E107" s="3"/>
      <c r="F107" s="3"/>
      <c r="G107" s="3"/>
      <c r="H107" s="3"/>
      <c r="I107" s="3"/>
      <c r="L107" s="2"/>
      <c r="M107" s="2"/>
      <c r="N107" s="2"/>
    </row>
    <row r="108" spans="1:14" x14ac:dyDescent="0.2">
      <c r="A108" s="3"/>
      <c r="B108" s="3"/>
      <c r="C108" s="3"/>
      <c r="D108" s="3"/>
      <c r="E108" s="3"/>
      <c r="F108" s="3"/>
      <c r="G108" s="3"/>
      <c r="H108" s="3"/>
      <c r="I108" s="3"/>
      <c r="L108" s="2"/>
      <c r="M108" s="2"/>
      <c r="N108" s="2"/>
    </row>
    <row r="109" spans="1:14" x14ac:dyDescent="0.2">
      <c r="A109" s="3"/>
      <c r="B109" s="3"/>
      <c r="C109" s="3"/>
      <c r="D109" s="3"/>
      <c r="E109" s="3"/>
      <c r="F109" s="3"/>
      <c r="G109" s="3"/>
      <c r="H109" s="3"/>
      <c r="I109" s="3"/>
      <c r="L109" s="2"/>
      <c r="M109" s="2"/>
      <c r="N109" s="2"/>
    </row>
    <row r="110" spans="1:14" x14ac:dyDescent="0.2">
      <c r="A110" s="3"/>
      <c r="B110" s="3"/>
      <c r="C110" s="3"/>
      <c r="D110" s="3"/>
      <c r="E110" s="3"/>
      <c r="F110" s="3"/>
      <c r="G110" s="3"/>
      <c r="H110" s="3"/>
      <c r="I110" s="3"/>
      <c r="L110" s="2"/>
      <c r="M110" s="2"/>
      <c r="N110" s="2"/>
    </row>
    <row r="111" spans="1:14" x14ac:dyDescent="0.2">
      <c r="A111" s="3"/>
      <c r="B111" s="3"/>
      <c r="C111" s="3"/>
      <c r="D111" s="3"/>
      <c r="E111" s="3"/>
      <c r="F111" s="3"/>
      <c r="G111" s="3"/>
      <c r="H111" s="3"/>
      <c r="I111" s="3"/>
      <c r="L111" s="2"/>
      <c r="M111" s="2"/>
      <c r="N111" s="2"/>
    </row>
    <row r="112" spans="1:14" x14ac:dyDescent="0.2">
      <c r="A112" s="3"/>
      <c r="B112" s="3"/>
      <c r="C112" s="3"/>
      <c r="D112" s="3"/>
      <c r="E112" s="3"/>
      <c r="F112" s="3"/>
      <c r="G112" s="3"/>
      <c r="H112" s="3"/>
      <c r="I112" s="3"/>
      <c r="L112" s="2"/>
      <c r="M112" s="2"/>
      <c r="N112" s="2"/>
    </row>
    <row r="113" spans="1:65" x14ac:dyDescent="0.2">
      <c r="A113" s="3"/>
      <c r="B113" s="3"/>
      <c r="C113" s="3"/>
      <c r="D113" s="3"/>
      <c r="E113" s="3"/>
      <c r="F113" s="3"/>
      <c r="G113" s="3"/>
      <c r="H113" s="3"/>
      <c r="I113" s="3"/>
      <c r="L113" s="2"/>
      <c r="M113" s="2"/>
      <c r="N113" s="2"/>
    </row>
    <row r="114" spans="1:65" x14ac:dyDescent="0.2">
      <c r="A114" s="3"/>
      <c r="B114" s="3"/>
      <c r="C114" s="3"/>
      <c r="D114" s="3"/>
      <c r="E114" s="3"/>
      <c r="F114" s="3"/>
      <c r="G114" s="3"/>
      <c r="H114" s="2"/>
      <c r="I114" s="2"/>
      <c r="L114" s="3"/>
      <c r="M114" s="4"/>
      <c r="N114" s="3"/>
    </row>
    <row r="115" spans="1:65" x14ac:dyDescent="0.2">
      <c r="A115" s="2"/>
      <c r="B115" s="3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x14ac:dyDescent="0.2">
      <c r="A216" s="2"/>
      <c r="B216" s="2"/>
      <c r="C216" s="2"/>
      <c r="D216" s="2"/>
      <c r="E216" s="2"/>
      <c r="F216" s="2"/>
      <c r="G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x14ac:dyDescent="0.2">
      <c r="B217" s="2"/>
      <c r="C217" s="2"/>
      <c r="D217" s="2"/>
      <c r="E217" s="2"/>
      <c r="F217" s="2"/>
      <c r="G217" s="2"/>
    </row>
  </sheetData>
  <pageMargins left="0.7" right="0.7" top="0.75" bottom="0.75" header="0.3" footer="0.3"/>
  <pageSetup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4032-6110-C74C-9433-ECA649D5733A}">
  <dimension ref="A1:BM202"/>
  <sheetViews>
    <sheetView zoomScale="130" zoomScaleNormal="130" workbookViewId="0"/>
  </sheetViews>
  <sheetFormatPr baseColWidth="10" defaultRowHeight="16" x14ac:dyDescent="0.2"/>
  <cols>
    <col min="1" max="16384" width="10.83203125" style="1"/>
  </cols>
  <sheetData>
    <row r="1" spans="1:10" ht="19" x14ac:dyDescent="0.25">
      <c r="A1" s="35" t="s">
        <v>164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163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92"/>
      <c r="E5" s="141" t="s">
        <v>162</v>
      </c>
      <c r="F5" s="29"/>
      <c r="G5" s="29"/>
      <c r="H5" s="29"/>
      <c r="I5" s="29"/>
      <c r="J5" s="28"/>
    </row>
    <row r="6" spans="1:10" x14ac:dyDescent="0.2">
      <c r="A6" s="30"/>
      <c r="B6" s="29"/>
      <c r="C6" s="29"/>
      <c r="D6" s="92"/>
      <c r="E6" s="141"/>
      <c r="F6" s="29"/>
      <c r="G6" s="29"/>
      <c r="H6" s="29"/>
      <c r="I6" s="29"/>
      <c r="J6" s="28"/>
    </row>
    <row r="7" spans="1:10" x14ac:dyDescent="0.2">
      <c r="A7" s="30"/>
      <c r="B7" s="29"/>
      <c r="C7" s="29"/>
      <c r="D7" s="91" t="s">
        <v>161</v>
      </c>
      <c r="E7" s="142"/>
      <c r="F7" s="29"/>
      <c r="G7" s="29"/>
      <c r="H7" s="29"/>
      <c r="I7" s="29"/>
      <c r="J7" s="28"/>
    </row>
    <row r="8" spans="1:10" x14ac:dyDescent="0.2">
      <c r="A8" s="30"/>
      <c r="B8" s="29"/>
      <c r="C8" s="29"/>
      <c r="D8" s="69">
        <v>50000</v>
      </c>
      <c r="E8" s="34">
        <v>2</v>
      </c>
      <c r="F8" s="29"/>
      <c r="G8" s="29"/>
      <c r="H8" s="29"/>
      <c r="I8" s="29"/>
      <c r="J8" s="28"/>
    </row>
    <row r="9" spans="1:10" x14ac:dyDescent="0.2">
      <c r="A9" s="30"/>
      <c r="B9" s="29"/>
      <c r="C9" s="29"/>
      <c r="D9" s="69">
        <v>100000</v>
      </c>
      <c r="E9" s="34">
        <v>4</v>
      </c>
      <c r="F9" s="29"/>
      <c r="G9" s="29"/>
      <c r="H9" s="29"/>
      <c r="I9" s="29"/>
      <c r="J9" s="28"/>
    </row>
    <row r="10" spans="1:10" x14ac:dyDescent="0.2">
      <c r="A10" s="30"/>
      <c r="B10" s="29"/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 t="s">
        <v>160</v>
      </c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90" t="s">
        <v>159</v>
      </c>
      <c r="C13" s="29"/>
      <c r="D13" s="32" t="s">
        <v>158</v>
      </c>
      <c r="E13" s="33">
        <v>1000</v>
      </c>
      <c r="F13" s="29"/>
      <c r="G13" s="29"/>
      <c r="H13" s="29"/>
      <c r="I13" s="29"/>
      <c r="J13" s="28"/>
    </row>
    <row r="14" spans="1:10" x14ac:dyDescent="0.2">
      <c r="A14" s="30"/>
      <c r="B14" s="29"/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90" t="s">
        <v>157</v>
      </c>
      <c r="C15" s="29"/>
      <c r="D15" s="32" t="s">
        <v>40</v>
      </c>
      <c r="E15" s="34">
        <v>3</v>
      </c>
      <c r="F15" s="29"/>
      <c r="G15" s="29"/>
      <c r="H15" s="29"/>
      <c r="I15" s="29"/>
      <c r="J15" s="28"/>
    </row>
    <row r="16" spans="1:10" x14ac:dyDescent="0.2">
      <c r="A16" s="30"/>
      <c r="B16" s="29"/>
      <c r="C16" s="29"/>
      <c r="D16" s="32" t="s">
        <v>38</v>
      </c>
      <c r="E16" s="31">
        <v>0.08</v>
      </c>
      <c r="F16" s="29" t="s">
        <v>91</v>
      </c>
      <c r="G16" s="29"/>
      <c r="H16" s="29"/>
      <c r="I16" s="29"/>
      <c r="J16" s="28"/>
    </row>
    <row r="17" spans="1:10" x14ac:dyDescent="0.2">
      <c r="A17" s="30"/>
      <c r="B17" s="29"/>
      <c r="C17" s="29"/>
      <c r="D17" s="32" t="s">
        <v>39</v>
      </c>
      <c r="E17" s="33">
        <v>10000</v>
      </c>
      <c r="F17" s="29"/>
      <c r="G17" s="29"/>
      <c r="H17" s="29"/>
      <c r="I17" s="29"/>
      <c r="J17" s="28"/>
    </row>
    <row r="18" spans="1:10" x14ac:dyDescent="0.2">
      <c r="A18" s="30"/>
      <c r="B18" s="29"/>
      <c r="C18" s="29"/>
      <c r="D18" s="29"/>
      <c r="E18" s="29"/>
      <c r="F18" s="29"/>
      <c r="G18" s="29"/>
      <c r="H18" s="29"/>
      <c r="I18" s="29"/>
      <c r="J18" s="28"/>
    </row>
    <row r="19" spans="1:10" x14ac:dyDescent="0.2">
      <c r="A19" s="30"/>
      <c r="B19" s="29"/>
      <c r="C19" s="29"/>
      <c r="D19" s="32" t="s">
        <v>141</v>
      </c>
      <c r="E19" s="31">
        <v>0.1</v>
      </c>
      <c r="F19" s="29"/>
      <c r="G19" s="29"/>
      <c r="H19" s="29"/>
      <c r="I19" s="29"/>
      <c r="J19" s="28"/>
    </row>
    <row r="20" spans="1:10" x14ac:dyDescent="0.2">
      <c r="A20" s="30"/>
      <c r="B20" s="29"/>
      <c r="C20" s="29"/>
      <c r="D20" s="29"/>
      <c r="E20" s="29"/>
      <c r="F20" s="29"/>
      <c r="G20" s="29"/>
      <c r="H20" s="29"/>
      <c r="I20" s="29"/>
      <c r="J20" s="28"/>
    </row>
    <row r="21" spans="1:10" x14ac:dyDescent="0.2">
      <c r="A21" s="30"/>
      <c r="B21" s="29" t="s">
        <v>138</v>
      </c>
      <c r="C21" s="29"/>
      <c r="D21" s="29"/>
      <c r="E21" s="29"/>
      <c r="F21" s="29"/>
      <c r="G21" s="29"/>
      <c r="H21" s="29"/>
      <c r="I21" s="29"/>
      <c r="J21" s="28"/>
    </row>
    <row r="22" spans="1:10" x14ac:dyDescent="0.2">
      <c r="A22" s="30"/>
      <c r="B22" s="29"/>
      <c r="C22" s="29"/>
      <c r="D22" s="29"/>
      <c r="E22" s="29"/>
      <c r="F22" s="29"/>
      <c r="G22" s="29"/>
      <c r="H22" s="29"/>
      <c r="I22" s="29"/>
      <c r="J22" s="28"/>
    </row>
    <row r="23" spans="1:10" x14ac:dyDescent="0.2">
      <c r="A23" s="30"/>
      <c r="B23" s="29" t="s">
        <v>34</v>
      </c>
      <c r="C23" s="29"/>
      <c r="D23" s="29"/>
      <c r="E23" s="29"/>
      <c r="F23" s="29"/>
      <c r="G23" s="29"/>
      <c r="H23" s="29"/>
      <c r="I23" s="29"/>
      <c r="J23" s="28"/>
    </row>
    <row r="24" spans="1:10" x14ac:dyDescent="0.2">
      <c r="A24" s="30"/>
      <c r="B24" s="29" t="s">
        <v>156</v>
      </c>
      <c r="C24" s="29"/>
      <c r="D24" s="29"/>
      <c r="E24" s="29"/>
      <c r="F24" s="29"/>
      <c r="G24" s="29"/>
      <c r="H24" s="29"/>
      <c r="I24" s="29"/>
      <c r="J24" s="28"/>
    </row>
    <row r="25" spans="1:10" x14ac:dyDescent="0.2">
      <c r="A25" s="30"/>
      <c r="B25" s="29"/>
      <c r="C25" s="29"/>
      <c r="D25" s="29"/>
      <c r="E25" s="29"/>
      <c r="F25" s="29"/>
      <c r="G25" s="29"/>
      <c r="H25" s="29"/>
      <c r="I25" s="29"/>
      <c r="J25" s="28"/>
    </row>
    <row r="26" spans="1:10" x14ac:dyDescent="0.2">
      <c r="A26" s="30"/>
      <c r="B26" s="29" t="s">
        <v>32</v>
      </c>
      <c r="C26" s="29"/>
      <c r="D26" s="29"/>
      <c r="E26" s="29"/>
      <c r="F26" s="29"/>
      <c r="G26" s="29"/>
      <c r="H26" s="29"/>
      <c r="I26" s="29"/>
      <c r="J26" s="28"/>
    </row>
    <row r="27" spans="1:10" x14ac:dyDescent="0.2">
      <c r="A27" s="30"/>
      <c r="B27" s="29" t="s">
        <v>155</v>
      </c>
      <c r="C27" s="29"/>
      <c r="D27" s="29"/>
      <c r="E27" s="29"/>
      <c r="F27" s="29"/>
      <c r="G27" s="29"/>
      <c r="H27" s="29"/>
      <c r="I27" s="29"/>
      <c r="J27" s="28"/>
    </row>
    <row r="28" spans="1:10" x14ac:dyDescent="0.2">
      <c r="A28" s="30"/>
      <c r="B28" s="29"/>
      <c r="C28" s="29"/>
      <c r="D28" s="29"/>
      <c r="E28" s="29"/>
      <c r="F28" s="29"/>
      <c r="G28" s="29"/>
      <c r="H28" s="29"/>
      <c r="I28" s="29"/>
      <c r="J28" s="28"/>
    </row>
    <row r="29" spans="1:10" x14ac:dyDescent="0.2">
      <c r="A29" s="30"/>
      <c r="B29" s="29" t="s">
        <v>30</v>
      </c>
      <c r="C29" s="29"/>
      <c r="D29" s="29"/>
      <c r="E29" s="29"/>
      <c r="F29" s="29"/>
      <c r="G29" s="29"/>
      <c r="H29" s="29"/>
      <c r="I29" s="29"/>
      <c r="J29" s="28"/>
    </row>
    <row r="30" spans="1:10" x14ac:dyDescent="0.2">
      <c r="A30" s="30"/>
      <c r="B30" s="29" t="s">
        <v>154</v>
      </c>
      <c r="C30" s="29"/>
      <c r="D30" s="29"/>
      <c r="E30" s="29"/>
      <c r="F30" s="29"/>
      <c r="G30" s="29"/>
      <c r="H30" s="29"/>
      <c r="I30" s="29"/>
      <c r="J30" s="28"/>
    </row>
    <row r="31" spans="1:10" x14ac:dyDescent="0.2">
      <c r="A31" s="30"/>
      <c r="B31" s="29" t="s">
        <v>153</v>
      </c>
      <c r="C31" s="29"/>
      <c r="D31" s="29"/>
      <c r="E31" s="29"/>
      <c r="F31" s="29"/>
      <c r="G31" s="29"/>
      <c r="H31" s="29"/>
      <c r="I31" s="29"/>
      <c r="J31" s="28"/>
    </row>
    <row r="32" spans="1:10" ht="17" thickBot="1" x14ac:dyDescent="0.25">
      <c r="A32" s="27"/>
      <c r="B32" s="25"/>
      <c r="C32" s="26"/>
      <c r="D32" s="26"/>
      <c r="E32" s="26"/>
      <c r="F32" s="25"/>
      <c r="G32" s="25"/>
      <c r="H32" s="25"/>
      <c r="I32" s="25"/>
      <c r="J32" s="24"/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13" ht="19" x14ac:dyDescent="0.25">
      <c r="A34" s="23" t="s">
        <v>25</v>
      </c>
      <c r="B34" s="3"/>
      <c r="C34" s="3"/>
      <c r="D34" s="3"/>
      <c r="E34" s="3"/>
      <c r="F34" s="3"/>
      <c r="G34" s="3"/>
      <c r="H34" s="3"/>
      <c r="I34" s="3"/>
    </row>
    <row r="35" spans="1:13" x14ac:dyDescent="0.2">
      <c r="A35" s="6" t="s">
        <v>24</v>
      </c>
      <c r="B35" s="3"/>
      <c r="C35" s="4"/>
      <c r="D35" s="3"/>
      <c r="E35" s="3"/>
      <c r="F35" s="3"/>
      <c r="G35" s="3"/>
      <c r="H35" s="3"/>
      <c r="I35" s="3"/>
    </row>
    <row r="36" spans="1:13" x14ac:dyDescent="0.2">
      <c r="A36" s="3"/>
      <c r="B36" s="86" t="s">
        <v>133</v>
      </c>
      <c r="C36" s="3"/>
      <c r="D36" s="3"/>
      <c r="E36" s="3"/>
      <c r="F36" s="3"/>
      <c r="G36" s="86" t="s">
        <v>132</v>
      </c>
      <c r="H36" s="3"/>
      <c r="I36" s="3"/>
      <c r="J36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/>
      <c r="M37" s="2"/>
    </row>
    <row r="38" spans="1:13" ht="18" x14ac:dyDescent="0.25">
      <c r="A38" s="3"/>
      <c r="B38" s="20" t="s">
        <v>130</v>
      </c>
      <c r="C38" s="22" t="s">
        <v>21</v>
      </c>
      <c r="D38" s="22" t="s">
        <v>20</v>
      </c>
      <c r="E38" s="22" t="s">
        <v>19</v>
      </c>
      <c r="F38" s="9"/>
      <c r="G38" s="20" t="s">
        <v>130</v>
      </c>
      <c r="H38" s="22" t="s">
        <v>21</v>
      </c>
      <c r="I38" s="22" t="s">
        <v>20</v>
      </c>
      <c r="J38" s="22" t="s">
        <v>19</v>
      </c>
      <c r="M38" s="2"/>
    </row>
    <row r="39" spans="1:13" x14ac:dyDescent="0.2">
      <c r="A39" s="3"/>
      <c r="B39" s="16">
        <v>2</v>
      </c>
      <c r="C39" s="85">
        <f>D8</f>
        <v>50000</v>
      </c>
      <c r="D39" s="39">
        <f>C39/((1+E$19)^B39)</f>
        <v>41322.31404958677</v>
      </c>
      <c r="E39" s="84">
        <f>B39*D39</f>
        <v>82644.62809917354</v>
      </c>
      <c r="F39" s="84"/>
      <c r="G39" s="16">
        <v>1</v>
      </c>
      <c r="H39" s="85">
        <f>E17*E16</f>
        <v>800</v>
      </c>
      <c r="I39" s="39">
        <f>H39/((1+E$19)^G39)</f>
        <v>727.27272727272725</v>
      </c>
      <c r="J39" s="84">
        <f>G39*I39</f>
        <v>727.27272727272725</v>
      </c>
      <c r="M39" s="2"/>
    </row>
    <row r="40" spans="1:13" x14ac:dyDescent="0.2">
      <c r="A40" s="3"/>
      <c r="B40" s="20">
        <v>4</v>
      </c>
      <c r="C40" s="83">
        <f>D9</f>
        <v>100000</v>
      </c>
      <c r="D40" s="82">
        <f>C40/((1+E$19)^B40)</f>
        <v>68301.345536507055</v>
      </c>
      <c r="E40" s="81">
        <f>B40*D40</f>
        <v>273205.38214602822</v>
      </c>
      <c r="F40" s="84"/>
      <c r="G40" s="16">
        <v>2</v>
      </c>
      <c r="H40" s="85">
        <f>H39</f>
        <v>800</v>
      </c>
      <c r="I40" s="39">
        <f>H40/((1+E$19)^G40)</f>
        <v>661.15702479338836</v>
      </c>
      <c r="J40" s="84">
        <f>G40*I40</f>
        <v>1322.3140495867767</v>
      </c>
      <c r="M40" s="2"/>
    </row>
    <row r="41" spans="1:13" x14ac:dyDescent="0.2">
      <c r="A41" s="3"/>
      <c r="B41" s="16" t="s">
        <v>18</v>
      </c>
      <c r="C41" s="9">
        <f>SUM(C39:C40)</f>
        <v>150000</v>
      </c>
      <c r="D41" s="77">
        <f>SUM(D39:D40)</f>
        <v>109623.65958609383</v>
      </c>
      <c r="E41" s="77">
        <f>SUM(E39:E40)</f>
        <v>355850.01024520176</v>
      </c>
      <c r="F41" s="84"/>
      <c r="G41" s="20">
        <v>3</v>
      </c>
      <c r="H41" s="83">
        <f>H40+E17</f>
        <v>10800</v>
      </c>
      <c r="I41" s="82">
        <f>H41/((1+E$19)^G41)</f>
        <v>8114.1998497370378</v>
      </c>
      <c r="J41" s="81">
        <f>G41*I41</f>
        <v>24342.599549211114</v>
      </c>
      <c r="M41" s="2"/>
    </row>
    <row r="42" spans="1:13" x14ac:dyDescent="0.2">
      <c r="A42" s="3"/>
      <c r="B42" s="9"/>
      <c r="C42" s="9"/>
      <c r="D42" s="77"/>
      <c r="E42" s="77"/>
      <c r="F42" s="84"/>
      <c r="G42" s="16" t="s">
        <v>18</v>
      </c>
      <c r="H42" s="9">
        <f>SUM(H39:H41)</f>
        <v>12400</v>
      </c>
      <c r="I42" s="77">
        <f>SUM(I39:I41)</f>
        <v>9502.6296018031535</v>
      </c>
      <c r="J42" s="77">
        <f>SUM(J39:J41)</f>
        <v>26392.18632607062</v>
      </c>
      <c r="M42" s="2"/>
    </row>
    <row r="43" spans="1:13" x14ac:dyDescent="0.2">
      <c r="A43" s="3"/>
      <c r="B43" s="40" t="s">
        <v>131</v>
      </c>
      <c r="C43" s="79">
        <f>E41/D41</f>
        <v>3.2461059190031154</v>
      </c>
      <c r="D43" s="3"/>
      <c r="E43" s="3"/>
      <c r="F43" s="84"/>
      <c r="G43" s="9"/>
      <c r="H43" s="9"/>
      <c r="I43" s="77"/>
      <c r="J43" s="77"/>
      <c r="M43" s="2"/>
    </row>
    <row r="44" spans="1:13" x14ac:dyDescent="0.2">
      <c r="A44" s="3"/>
      <c r="B44" s="40" t="s">
        <v>129</v>
      </c>
      <c r="C44" s="80">
        <f>D41</f>
        <v>109623.65958609383</v>
      </c>
      <c r="D44" s="3"/>
      <c r="E44" s="3"/>
      <c r="F44" s="84"/>
      <c r="G44" s="9"/>
      <c r="H44" s="89" t="s">
        <v>17</v>
      </c>
      <c r="I44" s="79">
        <f>J42/I42</f>
        <v>2.7773561037318153</v>
      </c>
      <c r="L44" s="2"/>
    </row>
    <row r="45" spans="1:13" x14ac:dyDescent="0.2">
      <c r="A45" s="3"/>
      <c r="B45" s="3"/>
      <c r="C45" s="3"/>
      <c r="D45" s="3"/>
      <c r="E45" s="3"/>
      <c r="F45" s="77"/>
      <c r="G45" s="9"/>
      <c r="H45" s="89" t="s">
        <v>127</v>
      </c>
      <c r="I45" s="77">
        <f>I42</f>
        <v>9502.6296018031535</v>
      </c>
      <c r="L45" s="2"/>
    </row>
    <row r="46" spans="1:13" x14ac:dyDescent="0.2">
      <c r="A46" s="3"/>
      <c r="B46" s="86" t="s">
        <v>128</v>
      </c>
      <c r="C46" s="3"/>
      <c r="D46" s="3"/>
      <c r="E46" s="3"/>
      <c r="F46" s="3"/>
      <c r="G46" s="9"/>
      <c r="H46" s="9"/>
      <c r="I46" s="77"/>
      <c r="J46" s="77"/>
    </row>
    <row r="47" spans="1:13" x14ac:dyDescent="0.2">
      <c r="B47" s="3"/>
      <c r="C47" s="3"/>
      <c r="D47" s="3"/>
      <c r="E47" s="3"/>
      <c r="F47" s="3"/>
      <c r="G47" s="9"/>
      <c r="H47" s="9"/>
      <c r="I47" s="77"/>
      <c r="J47" s="77"/>
    </row>
    <row r="48" spans="1:13" x14ac:dyDescent="0.2">
      <c r="A48" s="3"/>
      <c r="B48" s="40" t="s">
        <v>17</v>
      </c>
      <c r="C48" s="74">
        <f>(1+E19)/E19</f>
        <v>11</v>
      </c>
      <c r="D48" s="3"/>
      <c r="E48" s="3"/>
      <c r="F48" s="3"/>
      <c r="G48" s="9"/>
      <c r="H48" s="77"/>
      <c r="I48" s="77"/>
    </row>
    <row r="49" spans="1:14" x14ac:dyDescent="0.2">
      <c r="A49" s="3"/>
      <c r="B49" s="40" t="s">
        <v>127</v>
      </c>
      <c r="C49" s="80">
        <f>E13/E19</f>
        <v>10000</v>
      </c>
      <c r="D49" s="3"/>
      <c r="E49" s="3"/>
      <c r="F49" s="3"/>
      <c r="G49" s="9"/>
      <c r="H49" s="77"/>
      <c r="I49" s="77"/>
    </row>
    <row r="50" spans="1:14" x14ac:dyDescent="0.2">
      <c r="A50" s="3"/>
      <c r="B50" s="3"/>
      <c r="C50" s="3"/>
      <c r="D50" s="3"/>
      <c r="E50" s="3"/>
      <c r="F50" s="3"/>
      <c r="G50" s="9"/>
      <c r="H50" s="77"/>
      <c r="I50" s="77"/>
    </row>
    <row r="51" spans="1:14" x14ac:dyDescent="0.2">
      <c r="A51" s="3"/>
      <c r="B51" s="78" t="s">
        <v>126</v>
      </c>
      <c r="C51" s="3"/>
      <c r="D51" s="3"/>
      <c r="E51" s="3"/>
      <c r="F51" s="9"/>
      <c r="G51" s="9"/>
      <c r="H51" s="77"/>
      <c r="I51" s="77"/>
    </row>
    <row r="52" spans="1:14" x14ac:dyDescent="0.2">
      <c r="A52" s="3"/>
      <c r="B52" s="3" t="s">
        <v>152</v>
      </c>
      <c r="C52" s="3"/>
      <c r="D52" s="3"/>
      <c r="E52" s="3"/>
      <c r="F52" s="9"/>
      <c r="G52" s="3"/>
      <c r="H52" s="3"/>
      <c r="I52" s="3"/>
    </row>
    <row r="53" spans="1:14" x14ac:dyDescent="0.2">
      <c r="A53" s="3"/>
      <c r="B53" s="3"/>
      <c r="C53" s="3"/>
      <c r="D53" s="3"/>
      <c r="E53" s="3"/>
      <c r="F53" s="9"/>
      <c r="G53" s="3"/>
      <c r="H53" s="3"/>
      <c r="I53" s="3"/>
    </row>
    <row r="54" spans="1:14" ht="18" x14ac:dyDescent="0.25">
      <c r="A54" s="3"/>
      <c r="B54" s="40" t="s">
        <v>124</v>
      </c>
      <c r="C54" s="58">
        <f>(C43-I44)/(C48-I44)</f>
        <v>5.7007189072609654E-2</v>
      </c>
      <c r="D54" s="3"/>
      <c r="E54" s="3"/>
      <c r="F54" s="9"/>
      <c r="G54" s="3"/>
      <c r="H54" s="3"/>
      <c r="I54" s="3"/>
    </row>
    <row r="55" spans="1:14" ht="18" x14ac:dyDescent="0.25">
      <c r="B55" s="40" t="s">
        <v>123</v>
      </c>
      <c r="C55" s="57">
        <f>1-C54</f>
        <v>0.9429928109273904</v>
      </c>
      <c r="D55" s="3"/>
      <c r="E55" s="3"/>
      <c r="F55" s="9"/>
      <c r="G55" s="3"/>
      <c r="H55" s="3"/>
      <c r="I55" s="3"/>
      <c r="L55" s="3"/>
      <c r="M55" s="4"/>
      <c r="N55" s="3"/>
    </row>
    <row r="56" spans="1:14" ht="17" thickBot="1" x14ac:dyDescent="0.25">
      <c r="A56" s="3"/>
      <c r="B56" s="3"/>
      <c r="C56" s="3"/>
      <c r="D56" s="3"/>
      <c r="E56" s="3" t="s">
        <v>122</v>
      </c>
      <c r="F56" s="9"/>
      <c r="G56" s="3"/>
      <c r="H56" s="3"/>
      <c r="I56" s="3"/>
      <c r="L56" s="2"/>
      <c r="M56" s="2"/>
      <c r="N56" s="2"/>
    </row>
    <row r="57" spans="1:14" x14ac:dyDescent="0.2">
      <c r="A57" s="3"/>
      <c r="B57" s="40" t="s">
        <v>121</v>
      </c>
      <c r="C57" s="74">
        <f>C54*C$44</f>
        <v>6249.3366888558485</v>
      </c>
      <c r="D57" s="3"/>
      <c r="E57" s="76">
        <f>C57/C49</f>
        <v>0.62493366888558488</v>
      </c>
      <c r="F57" s="88" t="s">
        <v>120</v>
      </c>
      <c r="G57" s="3"/>
      <c r="H57" s="3"/>
      <c r="I57" s="3"/>
      <c r="L57" s="2"/>
      <c r="M57" s="2"/>
      <c r="N57" s="2"/>
    </row>
    <row r="58" spans="1:14" ht="17" thickBot="1" x14ac:dyDescent="0.25">
      <c r="A58" s="3"/>
      <c r="B58" s="40" t="s">
        <v>119</v>
      </c>
      <c r="C58" s="74">
        <f>C55*C$44</f>
        <v>103374.32289723799</v>
      </c>
      <c r="D58" s="3"/>
      <c r="E58" s="87">
        <f>C58/I45</f>
        <v>10.878496503496505</v>
      </c>
      <c r="F58" s="72" t="s">
        <v>118</v>
      </c>
      <c r="G58" s="3"/>
      <c r="H58" s="3"/>
      <c r="I58" s="3"/>
      <c r="L58" s="2"/>
      <c r="M58" s="2"/>
      <c r="N58" s="2"/>
    </row>
    <row r="59" spans="1:14" x14ac:dyDescent="0.2">
      <c r="A59" s="3"/>
      <c r="B59" s="3"/>
      <c r="C59" s="4"/>
      <c r="D59" s="3"/>
      <c r="E59" s="3"/>
      <c r="F59" s="3"/>
      <c r="G59" s="3"/>
      <c r="H59" s="3"/>
      <c r="I59" s="3"/>
      <c r="L59" s="2"/>
      <c r="M59" s="2"/>
      <c r="N59" s="2"/>
    </row>
    <row r="60" spans="1:14" x14ac:dyDescent="0.2">
      <c r="A60" s="6" t="s">
        <v>16</v>
      </c>
      <c r="B60" s="3"/>
      <c r="C60" s="3"/>
      <c r="D60" s="3"/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 t="s">
        <v>151</v>
      </c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 t="s">
        <v>150</v>
      </c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10" t="s">
        <v>149</v>
      </c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14" x14ac:dyDescent="0.2">
      <c r="A65" s="3"/>
      <c r="B65" s="10" t="s">
        <v>148</v>
      </c>
      <c r="C65" s="3"/>
      <c r="D65" s="3"/>
      <c r="E65" s="3"/>
      <c r="F65" s="3"/>
      <c r="G65" s="3"/>
      <c r="H65" s="3"/>
      <c r="I65" s="3"/>
      <c r="L65" s="3"/>
      <c r="M65" s="4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14" x14ac:dyDescent="0.2">
      <c r="A67" s="6" t="s">
        <v>14</v>
      </c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14" x14ac:dyDescent="0.2">
      <c r="A68" s="3"/>
      <c r="B68" s="3" t="s">
        <v>147</v>
      </c>
      <c r="C68" s="3"/>
      <c r="D68" s="3"/>
      <c r="E68" s="3"/>
      <c r="F68" s="3"/>
      <c r="G68" s="3"/>
      <c r="H68" s="3"/>
      <c r="I68" s="3"/>
      <c r="L68" s="2"/>
      <c r="M68" s="2"/>
      <c r="N68" s="2"/>
    </row>
    <row r="69" spans="1:14" x14ac:dyDescent="0.2">
      <c r="A69" s="3"/>
      <c r="B69" s="3" t="s">
        <v>146</v>
      </c>
      <c r="C69" s="3"/>
      <c r="D69" s="3"/>
      <c r="E69" s="3"/>
      <c r="F69" s="3"/>
      <c r="G69" s="3"/>
      <c r="H69" s="3"/>
      <c r="I69" s="3"/>
      <c r="L69" s="2"/>
      <c r="M69" s="2"/>
      <c r="N69" s="2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14" x14ac:dyDescent="0.2">
      <c r="A71" s="5" t="s">
        <v>1</v>
      </c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14" x14ac:dyDescent="0.2">
      <c r="A72" s="3" t="s">
        <v>115</v>
      </c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3"/>
      <c r="M75" s="4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2"/>
      <c r="M79" s="2"/>
      <c r="N79" s="2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2"/>
      <c r="M80" s="2"/>
      <c r="N80" s="2"/>
    </row>
    <row r="81" spans="1:65" x14ac:dyDescent="0.2">
      <c r="A81" s="3"/>
      <c r="B81" s="3"/>
      <c r="C81" s="3"/>
      <c r="D81" s="3"/>
      <c r="E81" s="3"/>
      <c r="F81" s="3"/>
      <c r="G81" s="3"/>
      <c r="H81" s="3"/>
      <c r="I81" s="3"/>
      <c r="L81" s="2"/>
      <c r="M81" s="2"/>
      <c r="N81" s="2"/>
    </row>
    <row r="82" spans="1:65" x14ac:dyDescent="0.2">
      <c r="A82" s="3"/>
      <c r="B82" s="3"/>
      <c r="C82" s="3"/>
      <c r="D82" s="3"/>
      <c r="E82" s="3"/>
      <c r="F82" s="3"/>
      <c r="G82" s="3"/>
      <c r="H82" s="3"/>
      <c r="I82" s="3"/>
      <c r="L82" s="2"/>
      <c r="M82" s="2"/>
      <c r="N82" s="2"/>
    </row>
    <row r="83" spans="1:65" x14ac:dyDescent="0.2">
      <c r="A83" s="3"/>
      <c r="B83" s="3"/>
      <c r="C83" s="3"/>
      <c r="D83" s="3"/>
      <c r="E83" s="3"/>
      <c r="F83" s="3"/>
      <c r="G83" s="3"/>
      <c r="H83" s="3"/>
      <c r="I83" s="3"/>
      <c r="L83" s="2"/>
      <c r="M83" s="2"/>
      <c r="N83" s="2"/>
    </row>
    <row r="84" spans="1:65" x14ac:dyDescent="0.2">
      <c r="A84" s="3"/>
      <c r="B84" s="3"/>
      <c r="C84" s="3"/>
      <c r="D84" s="3"/>
      <c r="E84" s="3"/>
      <c r="F84" s="3"/>
      <c r="G84" s="3"/>
      <c r="H84" s="3"/>
      <c r="I84" s="3"/>
      <c r="L84" s="2"/>
      <c r="M84" s="2"/>
      <c r="N84" s="2"/>
    </row>
    <row r="85" spans="1:65" x14ac:dyDescent="0.2">
      <c r="A85" s="3"/>
      <c r="B85" s="3"/>
      <c r="C85" s="3"/>
      <c r="D85" s="3"/>
      <c r="E85" s="3"/>
      <c r="F85" s="3"/>
      <c r="G85" s="3"/>
      <c r="H85" s="3"/>
      <c r="I85" s="3"/>
      <c r="L85" s="3"/>
      <c r="M85" s="4"/>
      <c r="N85" s="3"/>
    </row>
    <row r="86" spans="1:65" x14ac:dyDescent="0.2">
      <c r="A86" s="3"/>
      <c r="B86" s="3"/>
      <c r="C86" s="3"/>
      <c r="D86" s="3"/>
      <c r="E86" s="3"/>
      <c r="F86" s="3"/>
      <c r="G86" s="3"/>
      <c r="H86" s="3"/>
      <c r="I86" s="3"/>
      <c r="L86" s="2"/>
      <c r="M86" s="2"/>
      <c r="N86" s="2"/>
    </row>
    <row r="87" spans="1:65" x14ac:dyDescent="0.2">
      <c r="A87" s="3"/>
      <c r="B87" s="3"/>
      <c r="C87" s="3"/>
      <c r="D87" s="3"/>
      <c r="E87" s="3"/>
      <c r="F87" s="3"/>
      <c r="G87" s="3"/>
      <c r="H87" s="3"/>
      <c r="I87" s="3"/>
      <c r="L87" s="2"/>
      <c r="M87" s="2"/>
      <c r="N87" s="2"/>
    </row>
    <row r="88" spans="1:65" x14ac:dyDescent="0.2">
      <c r="A88" s="3"/>
      <c r="B88" s="3"/>
      <c r="C88" s="3"/>
      <c r="D88" s="3"/>
      <c r="E88" s="3"/>
      <c r="F88" s="3"/>
      <c r="G88" s="3"/>
      <c r="H88" s="3"/>
      <c r="I88" s="3"/>
      <c r="L88" s="2"/>
      <c r="M88" s="2"/>
      <c r="N88" s="2"/>
    </row>
    <row r="89" spans="1:65" x14ac:dyDescent="0.2">
      <c r="A89" s="3"/>
      <c r="B89" s="3"/>
      <c r="C89" s="3"/>
      <c r="D89" s="3"/>
      <c r="E89" s="3"/>
      <c r="F89" s="3"/>
      <c r="G89" s="3"/>
      <c r="H89" s="3"/>
      <c r="I89" s="3"/>
      <c r="L89" s="2"/>
      <c r="M89" s="2"/>
      <c r="N89" s="2"/>
    </row>
    <row r="90" spans="1:65" x14ac:dyDescent="0.2">
      <c r="A90" s="3"/>
      <c r="B90" s="3"/>
      <c r="C90" s="3"/>
      <c r="D90" s="3"/>
      <c r="E90" s="3"/>
      <c r="F90" s="3"/>
      <c r="G90" s="3"/>
      <c r="H90" s="3"/>
      <c r="I90" s="3"/>
      <c r="L90" s="2"/>
      <c r="M90" s="2"/>
      <c r="N90" s="2"/>
    </row>
    <row r="91" spans="1:65" x14ac:dyDescent="0.2">
      <c r="A91" s="3"/>
      <c r="B91" s="3"/>
      <c r="C91" s="3"/>
      <c r="D91" s="3"/>
      <c r="E91" s="3"/>
      <c r="F91" s="3"/>
      <c r="G91" s="3"/>
      <c r="H91" s="3"/>
      <c r="I91" s="3"/>
      <c r="L91" s="2"/>
      <c r="M91" s="2"/>
      <c r="N91" s="2"/>
    </row>
    <row r="92" spans="1:65" x14ac:dyDescent="0.2">
      <c r="A92" s="3"/>
      <c r="B92" s="3"/>
      <c r="C92" s="3"/>
      <c r="D92" s="3"/>
      <c r="E92" s="3"/>
      <c r="F92" s="3"/>
      <c r="G92" s="3"/>
      <c r="H92" s="3"/>
      <c r="I92" s="3"/>
      <c r="L92" s="2"/>
      <c r="M92" s="2"/>
      <c r="N92" s="2"/>
    </row>
    <row r="93" spans="1:65" x14ac:dyDescent="0.2">
      <c r="A93" s="3"/>
      <c r="B93" s="3"/>
      <c r="C93" s="3"/>
      <c r="D93" s="3"/>
      <c r="E93" s="3"/>
      <c r="F93" s="3"/>
      <c r="G93" s="3"/>
      <c r="H93" s="3"/>
      <c r="I93" s="3"/>
      <c r="L93" s="2"/>
      <c r="M93" s="2"/>
      <c r="N93" s="2"/>
    </row>
    <row r="94" spans="1:65" x14ac:dyDescent="0.2">
      <c r="A94" s="3"/>
      <c r="B94" s="3"/>
      <c r="C94" s="3"/>
      <c r="D94" s="3"/>
      <c r="E94" s="3"/>
      <c r="F94" s="3"/>
      <c r="G94" s="2"/>
      <c r="H94" s="2"/>
      <c r="I94" s="2"/>
      <c r="J94" s="2"/>
      <c r="L94" s="2"/>
      <c r="M94" s="2"/>
      <c r="N94" s="2"/>
    </row>
    <row r="95" spans="1:65" x14ac:dyDescent="0.2">
      <c r="A95" s="3"/>
      <c r="B95" s="3"/>
      <c r="C95" s="3"/>
      <c r="D95" s="3"/>
      <c r="E95" s="3"/>
      <c r="F95" s="3"/>
      <c r="G95" s="2"/>
      <c r="H95" s="2"/>
      <c r="I95" s="2"/>
      <c r="J95" s="2"/>
      <c r="L95" s="3"/>
      <c r="M95" s="4"/>
      <c r="N95" s="3"/>
    </row>
    <row r="96" spans="1:65" x14ac:dyDescent="0.2">
      <c r="A96" s="3"/>
      <c r="B96" s="3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3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3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3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x14ac:dyDescent="0.2">
      <c r="A196" s="2"/>
      <c r="B196" s="2"/>
      <c r="C196" s="2"/>
      <c r="D196" s="2"/>
      <c r="E196" s="2"/>
      <c r="F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x14ac:dyDescent="0.2">
      <c r="A197" s="2"/>
      <c r="B197" s="2"/>
      <c r="C197" s="2"/>
      <c r="D197" s="2"/>
      <c r="E197" s="2"/>
      <c r="F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x14ac:dyDescent="0.2">
      <c r="A198" s="2"/>
      <c r="B198" s="2"/>
      <c r="C198" s="2"/>
      <c r="D198" s="2"/>
      <c r="E198" s="2"/>
      <c r="F198" s="2"/>
    </row>
    <row r="199" spans="1:65" x14ac:dyDescent="0.2">
      <c r="B199" s="2"/>
      <c r="C199" s="2"/>
      <c r="D199" s="2"/>
      <c r="E199" s="2"/>
      <c r="F199" s="2"/>
    </row>
    <row r="200" spans="1:65" x14ac:dyDescent="0.2">
      <c r="B200" s="2"/>
      <c r="C200" s="2"/>
      <c r="D200" s="2"/>
      <c r="E200" s="2"/>
      <c r="F200" s="2"/>
    </row>
    <row r="201" spans="1:65" x14ac:dyDescent="0.2">
      <c r="B201" s="2"/>
      <c r="C201" s="2"/>
      <c r="D201" s="2"/>
      <c r="E201" s="2"/>
      <c r="F201" s="2"/>
    </row>
    <row r="202" spans="1:65" x14ac:dyDescent="0.2">
      <c r="B202" s="2"/>
      <c r="C202" s="2"/>
      <c r="D202" s="2"/>
      <c r="E202" s="2"/>
      <c r="F202" s="2"/>
    </row>
  </sheetData>
  <mergeCells count="1">
    <mergeCell ref="E5:E7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32E0-B519-8B40-B64D-A51E7490801C}">
  <dimension ref="A1:BM182"/>
  <sheetViews>
    <sheetView zoomScale="130" zoomScaleNormal="130" workbookViewId="0"/>
  </sheetViews>
  <sheetFormatPr baseColWidth="10" defaultRowHeight="16" x14ac:dyDescent="0.2"/>
  <cols>
    <col min="1" max="16384" width="10.83203125" style="1"/>
  </cols>
  <sheetData>
    <row r="1" spans="1:10" ht="19" x14ac:dyDescent="0.25">
      <c r="A1" s="35" t="s">
        <v>190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189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 t="s">
        <v>34</v>
      </c>
      <c r="C5" s="29"/>
      <c r="D5" s="29"/>
      <c r="E5" s="29"/>
      <c r="F5" s="29"/>
      <c r="G5" s="29"/>
      <c r="H5" s="29"/>
      <c r="I5" s="29"/>
      <c r="J5" s="28"/>
    </row>
    <row r="6" spans="1:10" x14ac:dyDescent="0.2">
      <c r="A6" s="30"/>
      <c r="B6" s="29" t="s">
        <v>188</v>
      </c>
      <c r="C6" s="29"/>
      <c r="D6" s="29"/>
      <c r="E6" s="29"/>
      <c r="F6" s="29"/>
      <c r="G6" s="29"/>
      <c r="H6" s="29"/>
      <c r="I6" s="29"/>
      <c r="J6" s="28"/>
    </row>
    <row r="7" spans="1:10" x14ac:dyDescent="0.2">
      <c r="A7" s="30"/>
      <c r="B7" s="29" t="s">
        <v>187</v>
      </c>
      <c r="C7" s="29"/>
      <c r="D7" s="29"/>
      <c r="E7" s="29"/>
      <c r="F7" s="29"/>
      <c r="G7" s="29"/>
      <c r="H7" s="29"/>
      <c r="I7" s="29"/>
      <c r="J7" s="28"/>
    </row>
    <row r="8" spans="1:10" x14ac:dyDescent="0.2">
      <c r="A8" s="30"/>
      <c r="B8" s="29"/>
      <c r="C8" s="29"/>
      <c r="D8" s="29"/>
      <c r="E8" s="29"/>
      <c r="F8" s="29"/>
      <c r="G8" s="29"/>
      <c r="H8" s="29"/>
      <c r="I8" s="29"/>
      <c r="J8" s="28"/>
    </row>
    <row r="9" spans="1:10" x14ac:dyDescent="0.2">
      <c r="A9" s="30"/>
      <c r="B9" s="29" t="s">
        <v>32</v>
      </c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 t="s">
        <v>186</v>
      </c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 t="s">
        <v>185</v>
      </c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30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 t="s">
        <v>184</v>
      </c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29" t="s">
        <v>183</v>
      </c>
      <c r="C15" s="29"/>
      <c r="D15" s="29"/>
      <c r="E15" s="29"/>
      <c r="F15" s="29"/>
      <c r="G15" s="29"/>
      <c r="H15" s="29"/>
      <c r="I15" s="29"/>
      <c r="J15" s="28"/>
    </row>
    <row r="16" spans="1:10" x14ac:dyDescent="0.2">
      <c r="A16" s="30"/>
      <c r="B16" s="29"/>
      <c r="C16" s="29"/>
      <c r="D16" s="29"/>
      <c r="E16" s="29"/>
      <c r="F16" s="29"/>
      <c r="G16" s="29"/>
      <c r="H16" s="29"/>
      <c r="I16" s="29"/>
      <c r="J16" s="28"/>
    </row>
    <row r="17" spans="1:12" x14ac:dyDescent="0.2">
      <c r="A17" s="30"/>
      <c r="B17" s="29" t="s">
        <v>28</v>
      </c>
      <c r="C17" s="29"/>
      <c r="D17" s="29"/>
      <c r="E17" s="29"/>
      <c r="F17" s="29"/>
      <c r="G17" s="29"/>
      <c r="H17" s="29"/>
      <c r="I17" s="29"/>
      <c r="J17" s="28"/>
    </row>
    <row r="18" spans="1:12" x14ac:dyDescent="0.2">
      <c r="A18" s="30"/>
      <c r="B18" s="29" t="s">
        <v>182</v>
      </c>
      <c r="C18" s="29"/>
      <c r="D18" s="29"/>
      <c r="E18" s="29"/>
      <c r="F18" s="29"/>
      <c r="G18" s="29"/>
      <c r="H18" s="29"/>
      <c r="I18" s="29"/>
      <c r="J18" s="28"/>
    </row>
    <row r="19" spans="1:12" x14ac:dyDescent="0.2">
      <c r="A19" s="30"/>
      <c r="B19" s="29" t="s">
        <v>181</v>
      </c>
      <c r="C19" s="29"/>
      <c r="D19" s="29"/>
      <c r="E19" s="29"/>
      <c r="F19" s="29"/>
      <c r="G19" s="29"/>
      <c r="H19" s="29"/>
      <c r="I19" s="29"/>
      <c r="J19" s="28"/>
    </row>
    <row r="20" spans="1:12" ht="17" thickBot="1" x14ac:dyDescent="0.25">
      <c r="A20" s="27"/>
      <c r="B20" s="25"/>
      <c r="C20" s="26"/>
      <c r="D20" s="26"/>
      <c r="E20" s="26"/>
      <c r="F20" s="25"/>
      <c r="G20" s="25"/>
      <c r="H20" s="25"/>
      <c r="I20" s="25"/>
      <c r="J20" s="24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12" ht="19" x14ac:dyDescent="0.25">
      <c r="A22" s="23" t="s">
        <v>25</v>
      </c>
      <c r="B22" s="3"/>
      <c r="C22" s="3"/>
      <c r="D22" s="3"/>
      <c r="E22" s="3"/>
      <c r="F22" s="3"/>
      <c r="G22" s="3"/>
      <c r="H22" s="3"/>
      <c r="I22" s="3"/>
    </row>
    <row r="23" spans="1:12" x14ac:dyDescent="0.2">
      <c r="A23" s="6" t="s">
        <v>24</v>
      </c>
      <c r="B23" s="3"/>
      <c r="C23" s="4"/>
      <c r="D23" s="3"/>
      <c r="E23" s="3"/>
      <c r="F23" s="3"/>
      <c r="G23" s="3"/>
      <c r="H23" s="3"/>
      <c r="I23" s="3"/>
    </row>
    <row r="24" spans="1:12" x14ac:dyDescent="0.2">
      <c r="A24" s="3"/>
      <c r="B24" s="3" t="s">
        <v>177</v>
      </c>
      <c r="C24" s="3"/>
      <c r="D24" s="3"/>
      <c r="E24" s="3"/>
      <c r="F24" s="3"/>
      <c r="G24" s="3"/>
      <c r="H24" s="3"/>
      <c r="I24" s="3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L25" s="2"/>
    </row>
    <row r="26" spans="1:12" x14ac:dyDescent="0.2">
      <c r="A26" s="3"/>
      <c r="B26" s="3" t="s">
        <v>180</v>
      </c>
      <c r="C26" s="3"/>
      <c r="D26" s="3"/>
      <c r="E26" s="3"/>
      <c r="F26" s="3"/>
      <c r="G26" s="3"/>
      <c r="H26" s="3"/>
      <c r="I26" s="3"/>
      <c r="L26" s="2"/>
    </row>
    <row r="27" spans="1:12" x14ac:dyDescent="0.2">
      <c r="A27" s="3"/>
      <c r="B27" s="3" t="s">
        <v>179</v>
      </c>
      <c r="C27" s="3"/>
      <c r="D27" s="3"/>
      <c r="E27" s="3"/>
      <c r="F27" s="3"/>
      <c r="G27" s="3"/>
      <c r="H27" s="3"/>
      <c r="I27" s="3"/>
      <c r="L27" s="2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L28" s="2"/>
    </row>
    <row r="29" spans="1:12" x14ac:dyDescent="0.2">
      <c r="A29" s="3"/>
      <c r="B29" s="5" t="s">
        <v>178</v>
      </c>
      <c r="C29" s="3"/>
      <c r="D29" s="3"/>
      <c r="E29" s="3"/>
      <c r="F29" s="3"/>
      <c r="G29" s="3"/>
      <c r="H29" s="3"/>
      <c r="I29" s="3"/>
      <c r="L29" s="2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L30" s="2"/>
    </row>
    <row r="31" spans="1:12" x14ac:dyDescent="0.2">
      <c r="A31" s="6" t="s">
        <v>16</v>
      </c>
      <c r="B31" s="3"/>
      <c r="C31" s="4"/>
      <c r="D31" s="3"/>
      <c r="E31" s="3"/>
      <c r="F31" s="3"/>
      <c r="G31" s="3"/>
      <c r="H31" s="3"/>
      <c r="I31" s="3"/>
    </row>
    <row r="32" spans="1:12" x14ac:dyDescent="0.2">
      <c r="A32" s="3"/>
      <c r="B32" s="3" t="s">
        <v>177</v>
      </c>
      <c r="C32" s="3"/>
      <c r="D32" s="3"/>
      <c r="E32" s="3"/>
      <c r="F32" s="3"/>
      <c r="G32" s="3"/>
      <c r="H32" s="3"/>
      <c r="I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14" x14ac:dyDescent="0.2">
      <c r="A34" s="3"/>
      <c r="B34" s="3" t="s">
        <v>176</v>
      </c>
      <c r="C34" s="3"/>
      <c r="D34" s="3"/>
      <c r="E34" s="3"/>
      <c r="F34" s="3"/>
      <c r="G34" s="3"/>
      <c r="H34" s="3"/>
      <c r="I34" s="3"/>
    </row>
    <row r="35" spans="1:14" x14ac:dyDescent="0.2">
      <c r="A35" s="3"/>
      <c r="B35" s="3" t="s">
        <v>175</v>
      </c>
      <c r="C35" s="3"/>
      <c r="D35" s="3"/>
      <c r="E35" s="3"/>
      <c r="F35" s="3"/>
      <c r="G35" s="3"/>
      <c r="H35" s="3"/>
      <c r="I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14" x14ac:dyDescent="0.2">
      <c r="A37" s="3"/>
      <c r="B37" s="5" t="s">
        <v>174</v>
      </c>
      <c r="C37" s="3"/>
      <c r="D37" s="3"/>
      <c r="E37" s="3"/>
      <c r="F37" s="3"/>
      <c r="G37" s="3"/>
      <c r="H37" s="3"/>
      <c r="I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14" x14ac:dyDescent="0.2">
      <c r="A39" s="6" t="s">
        <v>14</v>
      </c>
      <c r="B39" s="3"/>
      <c r="C39" s="4"/>
      <c r="D39" s="3"/>
      <c r="E39" s="3"/>
      <c r="F39" s="3"/>
      <c r="G39" s="3"/>
      <c r="H39" s="3"/>
      <c r="I39" s="3"/>
    </row>
    <row r="40" spans="1:14" x14ac:dyDescent="0.2">
      <c r="A40" s="3"/>
      <c r="B40" s="3" t="s">
        <v>173</v>
      </c>
      <c r="C40" s="3"/>
      <c r="D40" s="3"/>
      <c r="E40" s="3"/>
      <c r="F40" s="3"/>
      <c r="G40" s="3"/>
      <c r="H40" s="3"/>
      <c r="I40" s="3"/>
      <c r="L40" s="3"/>
      <c r="M40" s="4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L41" s="2"/>
      <c r="M41" s="2"/>
      <c r="N41" s="2"/>
    </row>
    <row r="42" spans="1:14" x14ac:dyDescent="0.2">
      <c r="A42" s="3"/>
      <c r="B42" s="3" t="s">
        <v>172</v>
      </c>
      <c r="C42" s="3"/>
      <c r="D42" s="3"/>
      <c r="E42" s="3"/>
      <c r="F42" s="3"/>
      <c r="G42" s="3"/>
      <c r="H42" s="3"/>
      <c r="I42" s="3"/>
      <c r="L42" s="2"/>
      <c r="M42" s="2"/>
      <c r="N42" s="2"/>
    </row>
    <row r="43" spans="1:14" ht="19" x14ac:dyDescent="0.2">
      <c r="A43" s="3"/>
      <c r="B43" s="3" t="s">
        <v>171</v>
      </c>
      <c r="C43" s="3"/>
      <c r="D43" s="3"/>
      <c r="E43" s="3"/>
      <c r="F43" s="3"/>
      <c r="G43" s="3"/>
      <c r="H43" s="3"/>
      <c r="I43" s="3"/>
      <c r="L43" s="2"/>
      <c r="M43" s="2"/>
      <c r="N43" s="2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L44" s="2"/>
      <c r="M44" s="2"/>
      <c r="N44" s="2"/>
    </row>
    <row r="45" spans="1:14" x14ac:dyDescent="0.2">
      <c r="A45" s="6" t="s">
        <v>8</v>
      </c>
      <c r="B45" s="3"/>
      <c r="C45" s="3"/>
      <c r="D45" s="3"/>
      <c r="E45" s="3"/>
      <c r="F45" s="3"/>
      <c r="G45" s="3"/>
      <c r="H45" s="3"/>
      <c r="I45" s="3"/>
      <c r="L45" s="2"/>
      <c r="M45" s="2"/>
      <c r="N45" s="2"/>
    </row>
    <row r="46" spans="1:14" x14ac:dyDescent="0.2">
      <c r="A46" s="3"/>
      <c r="B46" s="3" t="s">
        <v>170</v>
      </c>
      <c r="C46" s="3"/>
      <c r="D46" s="3"/>
      <c r="E46" s="3"/>
      <c r="F46" s="3"/>
      <c r="G46" s="3"/>
      <c r="H46" s="3"/>
      <c r="I46" s="3"/>
      <c r="L46" s="2"/>
      <c r="M46" s="2"/>
      <c r="N46" s="2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L47" s="2"/>
      <c r="M47" s="2"/>
      <c r="N47" s="2"/>
    </row>
    <row r="48" spans="1:14" ht="18" x14ac:dyDescent="0.25">
      <c r="A48" s="3"/>
      <c r="B48" s="40" t="s">
        <v>169</v>
      </c>
      <c r="C48" s="9" t="s">
        <v>168</v>
      </c>
      <c r="D48" s="74">
        <f>(1+10%)/10%</f>
        <v>11</v>
      </c>
      <c r="E48" s="3"/>
      <c r="F48" s="3"/>
      <c r="G48" s="3"/>
      <c r="H48" s="3"/>
      <c r="I48" s="3"/>
      <c r="L48" s="2"/>
      <c r="M48" s="2"/>
      <c r="N48" s="2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L49" s="2"/>
      <c r="M49" s="2"/>
      <c r="N49" s="2"/>
    </row>
    <row r="50" spans="1:14" x14ac:dyDescent="0.2">
      <c r="A50" s="3"/>
      <c r="B50" s="3" t="s">
        <v>167</v>
      </c>
      <c r="C50" s="3"/>
      <c r="D50" s="3"/>
      <c r="E50" s="3"/>
      <c r="F50" s="3"/>
      <c r="G50" s="3"/>
      <c r="H50" s="3"/>
      <c r="I50" s="3"/>
      <c r="L50" s="3"/>
      <c r="M50" s="4"/>
      <c r="N50" s="3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L51" s="2"/>
      <c r="M51" s="2"/>
      <c r="N51" s="2"/>
    </row>
    <row r="52" spans="1:14" x14ac:dyDescent="0.2">
      <c r="A52" s="5" t="s">
        <v>5</v>
      </c>
      <c r="B52" s="3"/>
      <c r="C52" s="3"/>
      <c r="D52" s="3"/>
      <c r="E52" s="3"/>
      <c r="F52" s="3"/>
      <c r="G52" s="3"/>
      <c r="H52" s="3"/>
      <c r="I52" s="3"/>
      <c r="L52" s="2"/>
      <c r="M52" s="2"/>
      <c r="N52" s="2"/>
    </row>
    <row r="53" spans="1:14" x14ac:dyDescent="0.2">
      <c r="A53" s="3" t="s">
        <v>166</v>
      </c>
      <c r="B53" s="3"/>
      <c r="C53" s="3"/>
      <c r="D53" s="3"/>
      <c r="E53" s="3"/>
      <c r="F53" s="3"/>
      <c r="G53" s="3"/>
      <c r="H53" s="3"/>
      <c r="I53" s="3"/>
      <c r="L53" s="2"/>
      <c r="M53" s="2"/>
      <c r="N53" s="2"/>
    </row>
    <row r="54" spans="1:14" x14ac:dyDescent="0.2">
      <c r="A54" s="3" t="s">
        <v>165</v>
      </c>
      <c r="B54" s="3"/>
      <c r="C54" s="3"/>
      <c r="D54" s="3"/>
      <c r="E54" s="3"/>
      <c r="F54" s="3"/>
      <c r="G54" s="3"/>
      <c r="H54" s="3"/>
      <c r="I54" s="3"/>
      <c r="L54" s="2"/>
      <c r="M54" s="2"/>
      <c r="N54" s="2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L55" s="2"/>
      <c r="M55" s="2"/>
      <c r="N55" s="2"/>
    </row>
    <row r="56" spans="1:14" x14ac:dyDescent="0.2">
      <c r="A56" s="5" t="s">
        <v>1</v>
      </c>
      <c r="B56" s="3"/>
      <c r="C56" s="3"/>
      <c r="D56" s="3"/>
      <c r="E56" s="3"/>
      <c r="F56" s="3"/>
      <c r="G56" s="3"/>
      <c r="H56" s="3"/>
      <c r="I56" s="3"/>
      <c r="L56" s="2"/>
      <c r="M56" s="2"/>
      <c r="N56" s="2"/>
    </row>
    <row r="57" spans="1:14" x14ac:dyDescent="0.2">
      <c r="A57" s="3" t="s">
        <v>43</v>
      </c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L58" s="2"/>
      <c r="M58" s="2"/>
      <c r="N58" s="2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L59" s="2"/>
      <c r="M59" s="2"/>
      <c r="N59" s="2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L60" s="3"/>
      <c r="M60" s="4"/>
      <c r="N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L61" s="2"/>
      <c r="M61" s="2"/>
      <c r="N61" s="2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L62" s="2"/>
      <c r="M62" s="2"/>
      <c r="N62" s="2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L64" s="2"/>
      <c r="M64" s="2"/>
      <c r="N64" s="2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L68" s="2"/>
      <c r="M68" s="2"/>
      <c r="N68" s="2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L69" s="2"/>
      <c r="M69" s="2"/>
      <c r="N69" s="2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L70" s="3"/>
      <c r="M70" s="4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2"/>
      <c r="M78" s="2"/>
      <c r="N78" s="2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2"/>
      <c r="M79" s="2"/>
      <c r="N79" s="2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3"/>
      <c r="M80" s="4"/>
      <c r="N80" s="3"/>
    </row>
    <row r="81" spans="1:6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8CF0-3FBB-3A4B-B83C-3B13AEC26364}">
  <dimension ref="A1:BM190"/>
  <sheetViews>
    <sheetView zoomScale="130" zoomScaleNormal="130" workbookViewId="0">
      <selection activeCell="G21" sqref="G21"/>
    </sheetView>
  </sheetViews>
  <sheetFormatPr baseColWidth="10" defaultRowHeight="16" x14ac:dyDescent="0.2"/>
  <cols>
    <col min="1" max="3" width="10.83203125" style="1"/>
    <col min="4" max="4" width="10.83203125" style="1" customWidth="1"/>
    <col min="5" max="16384" width="10.83203125" style="1"/>
  </cols>
  <sheetData>
    <row r="1" spans="1:10" ht="19" x14ac:dyDescent="0.25">
      <c r="A1" s="35" t="s">
        <v>220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">
      <c r="A2" s="30"/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">
      <c r="A3" s="30"/>
      <c r="B3" s="29" t="s">
        <v>41</v>
      </c>
      <c r="C3" s="29"/>
      <c r="D3" s="29"/>
      <c r="E3" s="29"/>
      <c r="F3" s="29"/>
      <c r="G3" s="29"/>
      <c r="H3" s="29"/>
      <c r="I3" s="29"/>
      <c r="J3" s="28"/>
    </row>
    <row r="4" spans="1:10" x14ac:dyDescent="0.2">
      <c r="A4" s="30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">
      <c r="A5" s="30"/>
      <c r="B5" s="29"/>
      <c r="C5" s="29"/>
      <c r="D5" s="32" t="s">
        <v>251</v>
      </c>
      <c r="E5" s="33">
        <v>1000</v>
      </c>
      <c r="F5" s="29"/>
      <c r="G5" s="29"/>
      <c r="H5" s="29"/>
      <c r="I5" s="29"/>
      <c r="J5" s="28"/>
    </row>
    <row r="6" spans="1:10" x14ac:dyDescent="0.2">
      <c r="A6" s="30"/>
      <c r="B6" s="29"/>
      <c r="C6" s="29"/>
      <c r="D6" s="32" t="s">
        <v>40</v>
      </c>
      <c r="E6" s="34">
        <v>15</v>
      </c>
      <c r="F6" s="29"/>
      <c r="G6" s="29"/>
      <c r="H6" s="29"/>
      <c r="I6" s="29"/>
      <c r="J6" s="28"/>
    </row>
    <row r="7" spans="1:10" x14ac:dyDescent="0.2">
      <c r="A7" s="30"/>
      <c r="B7" s="29"/>
      <c r="C7" s="29"/>
      <c r="D7" s="32" t="s">
        <v>38</v>
      </c>
      <c r="E7" s="31">
        <v>0.08</v>
      </c>
      <c r="F7" s="29" t="s">
        <v>91</v>
      </c>
      <c r="G7" s="29"/>
      <c r="H7" s="29"/>
      <c r="I7" s="29"/>
      <c r="J7" s="28"/>
    </row>
    <row r="8" spans="1:10" x14ac:dyDescent="0.2">
      <c r="A8" s="30"/>
      <c r="B8" s="29"/>
      <c r="C8" s="29"/>
      <c r="D8" s="32" t="s">
        <v>219</v>
      </c>
      <c r="E8" s="31">
        <v>0.06</v>
      </c>
      <c r="F8" s="29" t="s">
        <v>218</v>
      </c>
      <c r="G8" s="29"/>
      <c r="H8" s="29"/>
      <c r="I8" s="29"/>
      <c r="J8" s="28"/>
    </row>
    <row r="9" spans="1:10" x14ac:dyDescent="0.2">
      <c r="A9" s="30"/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">
      <c r="A10" s="30"/>
      <c r="B10" s="29" t="s">
        <v>217</v>
      </c>
      <c r="C10" s="29"/>
      <c r="D10" s="29"/>
      <c r="E10" s="29"/>
      <c r="F10" s="29"/>
      <c r="G10" s="29"/>
      <c r="H10" s="29"/>
      <c r="I10" s="29"/>
      <c r="J10" s="28"/>
    </row>
    <row r="11" spans="1:10" x14ac:dyDescent="0.2">
      <c r="A11" s="30"/>
      <c r="B11" s="29" t="s">
        <v>216</v>
      </c>
      <c r="C11" s="29"/>
      <c r="D11" s="29"/>
      <c r="E11" s="29"/>
      <c r="F11" s="29"/>
      <c r="G11" s="29"/>
      <c r="H11" s="29"/>
      <c r="I11" s="29"/>
      <c r="J11" s="28"/>
    </row>
    <row r="12" spans="1:10" x14ac:dyDescent="0.2">
      <c r="A12" s="30"/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">
      <c r="A13" s="30"/>
      <c r="B13" s="29" t="s">
        <v>34</v>
      </c>
      <c r="C13" s="29"/>
      <c r="D13" s="29"/>
      <c r="E13" s="29"/>
      <c r="F13" s="29"/>
      <c r="G13" s="29"/>
      <c r="H13" s="29"/>
      <c r="I13" s="29"/>
      <c r="J13" s="28"/>
    </row>
    <row r="14" spans="1:10" x14ac:dyDescent="0.2">
      <c r="A14" s="30"/>
      <c r="B14" s="29" t="s">
        <v>215</v>
      </c>
      <c r="C14" s="29"/>
      <c r="D14" s="29"/>
      <c r="E14" s="29"/>
      <c r="F14" s="29"/>
      <c r="G14" s="29"/>
      <c r="H14" s="29"/>
      <c r="I14" s="29"/>
      <c r="J14" s="2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29"/>
      <c r="J15" s="28"/>
    </row>
    <row r="16" spans="1:10" x14ac:dyDescent="0.2">
      <c r="A16" s="30"/>
      <c r="B16" s="29" t="s">
        <v>32</v>
      </c>
      <c r="C16" s="29"/>
      <c r="D16" s="29"/>
      <c r="E16" s="29"/>
      <c r="F16" s="29"/>
      <c r="G16" s="29"/>
      <c r="H16" s="29"/>
      <c r="I16" s="29"/>
      <c r="J16" s="28"/>
    </row>
    <row r="17" spans="1:13" x14ac:dyDescent="0.2">
      <c r="A17" s="30"/>
      <c r="B17" s="29" t="s">
        <v>214</v>
      </c>
      <c r="C17" s="29"/>
      <c r="D17" s="29"/>
      <c r="E17" s="29"/>
      <c r="F17" s="29"/>
      <c r="G17" s="29"/>
      <c r="H17" s="29"/>
      <c r="I17" s="29"/>
      <c r="J17" s="28"/>
    </row>
    <row r="18" spans="1:13" ht="17" thickBot="1" x14ac:dyDescent="0.25">
      <c r="A18" s="27"/>
      <c r="B18" s="25"/>
      <c r="C18" s="26"/>
      <c r="D18" s="26"/>
      <c r="E18" s="26"/>
      <c r="F18" s="25"/>
      <c r="G18" s="25"/>
      <c r="H18" s="25"/>
      <c r="I18" s="25"/>
      <c r="J18" s="24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3" ht="19" x14ac:dyDescent="0.25">
      <c r="A20" s="23" t="s">
        <v>25</v>
      </c>
      <c r="B20" s="3"/>
      <c r="C20" s="3"/>
      <c r="D20" s="3"/>
      <c r="E20" s="3"/>
      <c r="F20" s="3"/>
      <c r="G20" s="3"/>
      <c r="H20" s="3"/>
      <c r="I20" s="3"/>
    </row>
    <row r="21" spans="1:13" x14ac:dyDescent="0.2">
      <c r="A21" s="6" t="s">
        <v>24</v>
      </c>
      <c r="B21" s="3"/>
      <c r="C21" s="4"/>
      <c r="D21" s="3"/>
      <c r="E21" s="3"/>
      <c r="F21" s="3"/>
      <c r="G21" s="3"/>
      <c r="H21" s="3"/>
      <c r="I21" s="3"/>
    </row>
    <row r="22" spans="1:13" x14ac:dyDescent="0.2">
      <c r="A22" s="6"/>
      <c r="B22" s="3"/>
      <c r="C22" s="4"/>
      <c r="D22" s="3"/>
      <c r="E22" s="3"/>
      <c r="F22" s="3"/>
      <c r="G22" s="3"/>
      <c r="H22" s="3"/>
      <c r="I22" s="3"/>
    </row>
    <row r="23" spans="1:13" x14ac:dyDescent="0.2">
      <c r="A23" s="6"/>
      <c r="B23" s="6" t="s">
        <v>213</v>
      </c>
      <c r="C23" s="4"/>
      <c r="D23" s="3"/>
      <c r="E23" s="3"/>
      <c r="G23" s="3"/>
      <c r="H23" s="3"/>
      <c r="I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3" x14ac:dyDescent="0.2">
      <c r="A25" s="3"/>
      <c r="B25" s="86" t="s">
        <v>209</v>
      </c>
      <c r="C25" s="3"/>
      <c r="D25" s="3"/>
      <c r="E25" s="3"/>
      <c r="F25" s="103" t="s">
        <v>208</v>
      </c>
      <c r="H25" s="51"/>
      <c r="L25" s="2"/>
      <c r="M25" s="2"/>
    </row>
    <row r="26" spans="1:13" x14ac:dyDescent="0.2">
      <c r="A26" s="3"/>
      <c r="B26" s="3" t="s">
        <v>212</v>
      </c>
      <c r="C26" s="3"/>
      <c r="D26" s="3"/>
      <c r="E26" s="3"/>
      <c r="F26" t="s">
        <v>246</v>
      </c>
      <c r="G26" s="126">
        <f>E8</f>
        <v>0.06</v>
      </c>
      <c r="L26" s="2"/>
      <c r="M26" s="2"/>
    </row>
    <row r="27" spans="1:13" x14ac:dyDescent="0.2">
      <c r="A27" s="3"/>
      <c r="B27" s="3" t="s">
        <v>206</v>
      </c>
      <c r="C27" s="3" t="s">
        <v>205</v>
      </c>
      <c r="D27" s="3"/>
      <c r="E27" s="3"/>
      <c r="F27" t="s">
        <v>247</v>
      </c>
      <c r="G27">
        <f>E6</f>
        <v>15</v>
      </c>
      <c r="L27" s="2"/>
      <c r="M27" s="2"/>
    </row>
    <row r="28" spans="1:13" x14ac:dyDescent="0.2">
      <c r="A28" s="3"/>
      <c r="B28" s="3" t="s">
        <v>211</v>
      </c>
      <c r="C28" s="3"/>
      <c r="D28" s="3"/>
      <c r="E28" s="3"/>
      <c r="F28" t="s">
        <v>248</v>
      </c>
      <c r="G28">
        <f>G29*E7</f>
        <v>80</v>
      </c>
      <c r="L28" s="2"/>
      <c r="M28" s="2"/>
    </row>
    <row r="29" spans="1:13" x14ac:dyDescent="0.2">
      <c r="A29" s="3"/>
      <c r="B29" s="3" t="s">
        <v>203</v>
      </c>
      <c r="C29" s="3" t="s">
        <v>202</v>
      </c>
      <c r="D29" s="3"/>
      <c r="E29" s="3"/>
      <c r="F29" t="s">
        <v>249</v>
      </c>
      <c r="G29" s="131">
        <f>E5</f>
        <v>1000</v>
      </c>
      <c r="L29" s="2"/>
      <c r="M29" s="2"/>
    </row>
    <row r="30" spans="1:13" x14ac:dyDescent="0.2">
      <c r="A30" s="3"/>
      <c r="B30" s="3"/>
      <c r="C30" s="3"/>
      <c r="D30" s="3"/>
      <c r="E30" s="3"/>
      <c r="F30"/>
      <c r="G30"/>
      <c r="L30" s="2"/>
      <c r="M30" s="2"/>
    </row>
    <row r="31" spans="1:13" x14ac:dyDescent="0.2">
      <c r="A31" s="3"/>
      <c r="B31" s="130" t="s">
        <v>129</v>
      </c>
      <c r="C31" s="129">
        <v>1194.24</v>
      </c>
      <c r="E31" s="3"/>
      <c r="F31" s="130" t="s">
        <v>250</v>
      </c>
      <c r="G31" s="128">
        <f>-PV(G26,G27,G28,G29)</f>
        <v>1194.24497975482</v>
      </c>
      <c r="L31" s="2"/>
      <c r="M31" s="2"/>
    </row>
    <row r="32" spans="1:13" x14ac:dyDescent="0.2">
      <c r="A32" s="3"/>
      <c r="B32" s="40"/>
      <c r="C32" s="3"/>
      <c r="D32" s="3"/>
      <c r="E32" s="3"/>
      <c r="L32" s="2"/>
      <c r="M32" s="2"/>
    </row>
    <row r="33" spans="1:14" x14ac:dyDescent="0.2">
      <c r="A33" s="3"/>
      <c r="B33" s="40"/>
      <c r="C33" s="3"/>
      <c r="D33" s="3"/>
      <c r="E33" s="3"/>
      <c r="L33" s="2"/>
      <c r="M33" s="2"/>
    </row>
    <row r="34" spans="1:14" x14ac:dyDescent="0.2">
      <c r="A34" s="6"/>
      <c r="D34" s="3"/>
      <c r="E34" s="3"/>
      <c r="L34" s="2"/>
      <c r="M34" s="2"/>
    </row>
    <row r="35" spans="1:14" x14ac:dyDescent="0.2">
      <c r="A35" s="3"/>
      <c r="B35" s="40"/>
      <c r="C35" s="3"/>
      <c r="D35" s="3"/>
      <c r="E35" s="3"/>
      <c r="F35" s="3"/>
      <c r="G35" s="3"/>
      <c r="H35" s="3"/>
      <c r="I35" s="3"/>
      <c r="L35" s="2"/>
      <c r="M35" s="2"/>
    </row>
    <row r="36" spans="1:14" x14ac:dyDescent="0.2">
      <c r="A36" s="3"/>
      <c r="B36" s="127" t="s">
        <v>210</v>
      </c>
      <c r="C36" s="3"/>
      <c r="D36" s="3"/>
      <c r="E36" s="3"/>
      <c r="G36" s="3"/>
      <c r="H36" s="3"/>
      <c r="I36" s="3"/>
      <c r="L36" s="2"/>
      <c r="M36" s="2"/>
    </row>
    <row r="37" spans="1:14" x14ac:dyDescent="0.2">
      <c r="A37" s="3"/>
      <c r="B37" s="40"/>
      <c r="C37" s="3"/>
      <c r="D37" s="3"/>
      <c r="E37" s="3"/>
      <c r="F37" s="3"/>
      <c r="G37" s="3"/>
      <c r="H37" s="3"/>
      <c r="I37" s="3"/>
      <c r="L37" s="2"/>
      <c r="M37" s="2"/>
    </row>
    <row r="38" spans="1:14" x14ac:dyDescent="0.2">
      <c r="A38" s="3"/>
      <c r="B38" s="86" t="s">
        <v>209</v>
      </c>
      <c r="C38" s="3"/>
      <c r="D38" s="3"/>
      <c r="E38" s="3"/>
      <c r="F38" s="103" t="s">
        <v>208</v>
      </c>
      <c r="H38" s="51"/>
      <c r="L38" s="2"/>
      <c r="M38" s="2"/>
    </row>
    <row r="39" spans="1:14" x14ac:dyDescent="0.2">
      <c r="A39" s="3"/>
      <c r="B39" s="3" t="s">
        <v>207</v>
      </c>
      <c r="C39" s="3"/>
      <c r="D39" s="3"/>
      <c r="E39" s="3"/>
      <c r="F39" t="s">
        <v>246</v>
      </c>
      <c r="G39" s="126">
        <v>0.05</v>
      </c>
      <c r="L39" s="2"/>
      <c r="M39" s="2"/>
    </row>
    <row r="40" spans="1:14" x14ac:dyDescent="0.2">
      <c r="A40" s="3"/>
      <c r="B40" s="3" t="s">
        <v>206</v>
      </c>
      <c r="C40" s="3" t="s">
        <v>205</v>
      </c>
      <c r="D40" s="3"/>
      <c r="E40" s="3"/>
      <c r="F40" t="s">
        <v>247</v>
      </c>
      <c r="G40">
        <f>G27-2</f>
        <v>13</v>
      </c>
      <c r="L40" s="2"/>
      <c r="M40" s="2"/>
    </row>
    <row r="41" spans="1:14" x14ac:dyDescent="0.2">
      <c r="A41" s="3"/>
      <c r="B41" s="3" t="s">
        <v>204</v>
      </c>
      <c r="C41" s="3"/>
      <c r="D41" s="3"/>
      <c r="E41" s="3"/>
      <c r="F41" t="s">
        <v>248</v>
      </c>
      <c r="G41">
        <f>G28</f>
        <v>80</v>
      </c>
      <c r="L41" s="2"/>
      <c r="M41" s="2"/>
    </row>
    <row r="42" spans="1:14" x14ac:dyDescent="0.2">
      <c r="A42" s="3"/>
      <c r="B42" s="3" t="s">
        <v>203</v>
      </c>
      <c r="C42" s="3" t="s">
        <v>202</v>
      </c>
      <c r="D42" s="3"/>
      <c r="E42" s="3"/>
      <c r="F42" t="s">
        <v>249</v>
      </c>
      <c r="G42">
        <f>G29</f>
        <v>1000</v>
      </c>
      <c r="L42" s="2"/>
      <c r="M42" s="2"/>
    </row>
    <row r="43" spans="1:14" x14ac:dyDescent="0.2">
      <c r="A43" s="3"/>
      <c r="B43" s="3"/>
      <c r="C43" s="3"/>
      <c r="D43" s="3"/>
      <c r="E43" s="3"/>
      <c r="F43"/>
      <c r="G43"/>
      <c r="L43" s="2"/>
      <c r="M43" s="2"/>
    </row>
    <row r="44" spans="1:14" x14ac:dyDescent="0.2">
      <c r="A44" s="3"/>
      <c r="B44" s="130" t="s">
        <v>129</v>
      </c>
      <c r="C44" s="129">
        <v>1281.81</v>
      </c>
      <c r="E44" s="3"/>
      <c r="F44" s="130" t="s">
        <v>250</v>
      </c>
      <c r="G44" s="128">
        <f>-PV(G39,G40,G41,G42)</f>
        <v>1281.8071896128231</v>
      </c>
      <c r="L44" s="2"/>
      <c r="M44" s="2"/>
    </row>
    <row r="45" spans="1:14" x14ac:dyDescent="0.2">
      <c r="A45" s="3"/>
      <c r="B45" s="40"/>
      <c r="C45" s="3"/>
      <c r="D45" s="3"/>
      <c r="E45" s="3"/>
      <c r="L45" s="2"/>
      <c r="M45" s="2"/>
    </row>
    <row r="46" spans="1:14" x14ac:dyDescent="0.2">
      <c r="A46" s="3"/>
      <c r="B46" s="98"/>
      <c r="C46"/>
      <c r="D46"/>
      <c r="E46"/>
      <c r="F46" s="3"/>
      <c r="G46" s="40"/>
      <c r="H46" s="9"/>
      <c r="I46" s="3"/>
      <c r="L46" s="2"/>
      <c r="M46" s="2"/>
      <c r="N46" s="3"/>
    </row>
    <row r="47" spans="1:14" x14ac:dyDescent="0.2">
      <c r="A47" s="3"/>
      <c r="B47"/>
      <c r="C47" s="98" t="s">
        <v>197</v>
      </c>
      <c r="D47" s="132">
        <f>$E$5*$E$7*(1+5%)+$E$5*$E$7</f>
        <v>164</v>
      </c>
      <c r="E47"/>
      <c r="F47" s="3"/>
      <c r="G47" s="40"/>
      <c r="H47" s="102"/>
      <c r="I47" s="3"/>
      <c r="L47" s="2"/>
      <c r="M47" s="2"/>
      <c r="N47" s="2"/>
    </row>
    <row r="48" spans="1:14" x14ac:dyDescent="0.2">
      <c r="A48" s="3"/>
      <c r="B48"/>
      <c r="C48"/>
      <c r="D48" s="96"/>
      <c r="E48"/>
      <c r="F48" s="3"/>
      <c r="G48" s="3"/>
      <c r="H48" s="3"/>
      <c r="I48" s="3"/>
      <c r="L48" s="2"/>
      <c r="M48" s="2"/>
      <c r="N48" s="2"/>
    </row>
    <row r="49" spans="1:14" ht="18" x14ac:dyDescent="0.25">
      <c r="A49" s="3"/>
      <c r="B49"/>
      <c r="C49" s="98" t="s">
        <v>200</v>
      </c>
      <c r="D49" s="99">
        <f>(D47+(G44-G31))/G31</f>
        <v>0.21064539865987061</v>
      </c>
      <c r="E49"/>
      <c r="F49" s="3"/>
      <c r="G49" s="3"/>
      <c r="H49" s="3"/>
      <c r="I49" s="3"/>
      <c r="L49" s="2"/>
      <c r="M49" s="2"/>
      <c r="N49" s="2"/>
    </row>
    <row r="50" spans="1:14" x14ac:dyDescent="0.2">
      <c r="A50" s="3"/>
      <c r="B50"/>
      <c r="C50"/>
      <c r="D50" s="96"/>
      <c r="E50"/>
      <c r="F50" s="3"/>
      <c r="G50" s="3"/>
      <c r="H50" s="3"/>
      <c r="I50" s="3"/>
      <c r="L50" s="2"/>
      <c r="M50" s="2"/>
      <c r="N50" s="2"/>
    </row>
    <row r="51" spans="1:14" ht="20" x14ac:dyDescent="0.25">
      <c r="A51" s="3"/>
      <c r="B51"/>
      <c r="C51" s="98" t="s">
        <v>199</v>
      </c>
      <c r="D51" s="97">
        <f>1+D49</f>
        <v>1.2106453986598706</v>
      </c>
      <c r="E51"/>
      <c r="F51" s="3"/>
      <c r="G51" s="3"/>
      <c r="H51" s="3"/>
      <c r="I51" s="3"/>
      <c r="L51" s="2"/>
      <c r="M51" s="2"/>
      <c r="N51" s="2"/>
    </row>
    <row r="52" spans="1:14" ht="17" thickBot="1" x14ac:dyDescent="0.25">
      <c r="A52" s="3"/>
      <c r="B52"/>
      <c r="C52"/>
      <c r="D52" s="96"/>
      <c r="E52"/>
      <c r="F52" s="3"/>
      <c r="G52" s="3"/>
      <c r="H52" s="3"/>
      <c r="I52" s="3"/>
      <c r="L52" s="2"/>
      <c r="M52" s="2"/>
      <c r="N52" s="2"/>
    </row>
    <row r="53" spans="1:14" ht="19" thickBot="1" x14ac:dyDescent="0.3">
      <c r="A53" s="3"/>
      <c r="B53"/>
      <c r="C53" s="101" t="s">
        <v>198</v>
      </c>
      <c r="D53" s="100">
        <f>SQRT(1+D49)-1</f>
        <v>0.10029332391861345</v>
      </c>
      <c r="E53"/>
      <c r="F53" s="3"/>
      <c r="G53" s="3"/>
      <c r="H53" s="3"/>
      <c r="I53" s="3"/>
      <c r="L53" s="2"/>
      <c r="M53" s="2"/>
      <c r="N53" s="2"/>
    </row>
    <row r="54" spans="1:14" x14ac:dyDescent="0.2">
      <c r="A54" s="3"/>
      <c r="B54"/>
      <c r="C54"/>
      <c r="D54"/>
      <c r="E54"/>
      <c r="F54" s="3"/>
      <c r="G54" s="3"/>
      <c r="H54" s="3"/>
      <c r="I54" s="3"/>
      <c r="L54" s="2"/>
      <c r="M54" s="2"/>
      <c r="N54" s="2"/>
    </row>
    <row r="55" spans="1:14" x14ac:dyDescent="0.2">
      <c r="A55" s="6" t="s">
        <v>16</v>
      </c>
      <c r="B55"/>
      <c r="C55"/>
      <c r="D55"/>
      <c r="E55"/>
      <c r="F55" s="3"/>
      <c r="G55" s="3"/>
      <c r="H55" s="3"/>
      <c r="I55" s="3"/>
      <c r="L55" s="2"/>
      <c r="M55" s="2"/>
      <c r="N55" s="2"/>
    </row>
    <row r="56" spans="1:14" x14ac:dyDescent="0.2">
      <c r="A56" s="3"/>
      <c r="B56"/>
      <c r="C56" s="98" t="s">
        <v>197</v>
      </c>
      <c r="D56" s="133">
        <f>$E$5*$E$7*(1+10%)+$E$5*$E$7</f>
        <v>168</v>
      </c>
      <c r="E56"/>
      <c r="F56" s="3"/>
      <c r="G56" s="3"/>
      <c r="H56" s="3"/>
      <c r="I56" s="3"/>
      <c r="L56" s="2"/>
      <c r="M56" s="2"/>
      <c r="N56" s="2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L57" s="2"/>
      <c r="M57" s="2"/>
      <c r="N57" s="2"/>
    </row>
    <row r="58" spans="1:14" ht="18" x14ac:dyDescent="0.25">
      <c r="A58" s="3"/>
      <c r="B58" s="3"/>
      <c r="C58" s="98" t="s">
        <v>196</v>
      </c>
      <c r="D58" s="99">
        <f>(D56+(G44-G31))/G31</f>
        <v>0.21399479519727216</v>
      </c>
      <c r="E58" s="3"/>
      <c r="F58" s="3"/>
      <c r="G58" s="3"/>
      <c r="H58" s="3"/>
      <c r="I58" s="3"/>
      <c r="L58" s="3"/>
      <c r="M58" s="4"/>
      <c r="N58" s="3"/>
    </row>
    <row r="59" spans="1:14" x14ac:dyDescent="0.2">
      <c r="A59" s="3"/>
      <c r="B59" s="3"/>
      <c r="C59"/>
      <c r="D59" s="96"/>
      <c r="E59" s="3"/>
      <c r="F59" s="3"/>
      <c r="G59" s="3"/>
      <c r="H59" s="3"/>
      <c r="I59" s="3"/>
      <c r="L59" s="2"/>
      <c r="M59" s="2"/>
      <c r="N59" s="2"/>
    </row>
    <row r="60" spans="1:14" ht="20" x14ac:dyDescent="0.25">
      <c r="A60" s="3"/>
      <c r="B60" s="3"/>
      <c r="C60" s="98" t="s">
        <v>195</v>
      </c>
      <c r="D60" s="97">
        <f>1+D58</f>
        <v>1.213994795197272</v>
      </c>
      <c r="E60" s="3"/>
      <c r="F60" s="3"/>
      <c r="G60" s="3"/>
      <c r="H60" s="3"/>
      <c r="I60" s="3"/>
      <c r="L60" s="2"/>
      <c r="M60" s="2"/>
      <c r="N60" s="2"/>
    </row>
    <row r="61" spans="1:14" x14ac:dyDescent="0.2">
      <c r="A61" s="3"/>
      <c r="B61" s="3"/>
      <c r="C61"/>
      <c r="D61" s="96"/>
      <c r="E61" s="3"/>
      <c r="F61" s="3"/>
      <c r="G61" s="3"/>
      <c r="H61" s="3"/>
      <c r="I61" s="3"/>
      <c r="L61" s="2"/>
      <c r="M61" s="2"/>
      <c r="N61" s="2"/>
    </row>
    <row r="62" spans="1:14" ht="18" x14ac:dyDescent="0.25">
      <c r="A62" s="3"/>
      <c r="B62" s="3"/>
      <c r="C62" s="95" t="s">
        <v>194</v>
      </c>
      <c r="D62" s="94">
        <f>SQRT(1+D58)-1</f>
        <v>0.10181431974596888</v>
      </c>
      <c r="E62" s="3"/>
      <c r="F62" s="3"/>
      <c r="G62" s="3"/>
      <c r="H62" s="3"/>
      <c r="I62" s="3"/>
      <c r="L62" s="2"/>
      <c r="M62" s="2"/>
      <c r="N62" s="2"/>
    </row>
    <row r="63" spans="1:14" ht="17" thickBot="1" x14ac:dyDescent="0.25">
      <c r="A63" s="3"/>
      <c r="B63" s="3"/>
      <c r="C63" s="3"/>
      <c r="D63" s="3"/>
      <c r="E63" s="3"/>
      <c r="F63" s="3"/>
      <c r="G63" s="3"/>
      <c r="H63" s="3"/>
      <c r="I63" s="3"/>
      <c r="L63" s="2"/>
      <c r="M63" s="2"/>
      <c r="N63" s="2"/>
    </row>
    <row r="64" spans="1:14" ht="17" thickBot="1" x14ac:dyDescent="0.25">
      <c r="A64" s="3"/>
      <c r="B64" s="38"/>
      <c r="C64" s="37" t="s">
        <v>193</v>
      </c>
      <c r="D64" s="93">
        <f>D62-D53</f>
        <v>1.5209958273554314E-3</v>
      </c>
      <c r="E64" s="3"/>
      <c r="F64" s="3"/>
      <c r="G64" s="3"/>
      <c r="H64" s="3"/>
      <c r="I64" s="3"/>
      <c r="L64" s="2"/>
      <c r="M64" s="2"/>
      <c r="N64" s="2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L65" s="2"/>
      <c r="M65" s="2"/>
      <c r="N65" s="2"/>
    </row>
    <row r="66" spans="1:14" x14ac:dyDescent="0.2">
      <c r="A66" s="5" t="s">
        <v>5</v>
      </c>
      <c r="B66" s="3"/>
      <c r="C66" s="3"/>
      <c r="D66" s="3"/>
      <c r="E66" s="3"/>
      <c r="F66" s="3"/>
      <c r="G66" s="3"/>
      <c r="H66" s="3"/>
      <c r="I66" s="3"/>
      <c r="L66" s="2"/>
      <c r="M66" s="2"/>
      <c r="N66" s="2"/>
    </row>
    <row r="67" spans="1:14" x14ac:dyDescent="0.2">
      <c r="A67" s="3" t="s">
        <v>192</v>
      </c>
      <c r="B67" s="3"/>
      <c r="C67" s="3"/>
      <c r="D67" s="3"/>
      <c r="E67" s="3"/>
      <c r="F67" s="3"/>
      <c r="G67" s="3"/>
      <c r="H67" s="3"/>
      <c r="I67" s="3"/>
      <c r="L67" s="2"/>
      <c r="M67" s="2"/>
      <c r="N67" s="2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L68" s="3"/>
      <c r="M68" s="4"/>
      <c r="N68" s="3"/>
    </row>
    <row r="69" spans="1:14" x14ac:dyDescent="0.2">
      <c r="A69" s="5" t="s">
        <v>1</v>
      </c>
      <c r="B69" s="3"/>
      <c r="C69" s="3"/>
      <c r="D69" s="3"/>
      <c r="E69" s="3"/>
      <c r="F69" s="3"/>
      <c r="G69" s="3"/>
      <c r="H69" s="3"/>
      <c r="I69" s="3"/>
      <c r="L69" s="2"/>
      <c r="M69" s="2"/>
      <c r="N69" s="2"/>
    </row>
    <row r="70" spans="1:14" x14ac:dyDescent="0.2">
      <c r="A70" s="3" t="s">
        <v>191</v>
      </c>
      <c r="B70" s="3"/>
      <c r="C70" s="3"/>
      <c r="D70" s="3"/>
      <c r="E70" s="3"/>
      <c r="F70" s="3"/>
      <c r="G70" s="3"/>
      <c r="H70" s="3"/>
      <c r="I70" s="3"/>
      <c r="L70" s="2"/>
      <c r="M70" s="2"/>
      <c r="N70" s="2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L71" s="2"/>
      <c r="M71" s="2"/>
      <c r="N71" s="2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L72" s="2"/>
      <c r="M72" s="2"/>
      <c r="N72" s="2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L73" s="2"/>
      <c r="M73" s="2"/>
      <c r="N73" s="2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L74" s="2"/>
      <c r="M74" s="2"/>
      <c r="N74" s="2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L75" s="2"/>
      <c r="M75" s="2"/>
      <c r="N75" s="2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L76" s="2"/>
      <c r="M76" s="2"/>
      <c r="N76" s="2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L77" s="2"/>
      <c r="M77" s="2"/>
      <c r="N77" s="2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L78" s="3"/>
      <c r="M78" s="4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L79" s="2"/>
      <c r="M79" s="2"/>
      <c r="N79" s="2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L80" s="2"/>
      <c r="M80" s="2"/>
      <c r="N80" s="2"/>
    </row>
    <row r="81" spans="1:65" x14ac:dyDescent="0.2">
      <c r="A81" s="3"/>
      <c r="B81" s="3"/>
      <c r="C81" s="3"/>
      <c r="D81" s="3"/>
      <c r="E81" s="3"/>
      <c r="F81" s="3"/>
      <c r="G81" s="3"/>
      <c r="H81" s="3"/>
      <c r="I81" s="3"/>
      <c r="L81" s="2"/>
      <c r="M81" s="2"/>
      <c r="N81" s="2"/>
    </row>
    <row r="82" spans="1:65" x14ac:dyDescent="0.2">
      <c r="A82" s="3"/>
      <c r="B82" s="3"/>
      <c r="C82" s="3"/>
      <c r="D82" s="3"/>
      <c r="E82" s="3"/>
      <c r="F82" s="3"/>
      <c r="G82" s="3"/>
      <c r="H82" s="3"/>
      <c r="I82" s="3"/>
      <c r="L82" s="2"/>
      <c r="M82" s="2"/>
      <c r="N82" s="2"/>
    </row>
    <row r="83" spans="1:65" x14ac:dyDescent="0.2">
      <c r="A83" s="3"/>
      <c r="B83" s="3"/>
      <c r="C83" s="3"/>
      <c r="D83" s="3"/>
      <c r="E83" s="3"/>
      <c r="F83" s="3"/>
      <c r="G83" s="3"/>
      <c r="H83" s="3"/>
      <c r="I83" s="3"/>
      <c r="L83" s="2"/>
      <c r="M83" s="2"/>
      <c r="N83" s="2"/>
    </row>
    <row r="84" spans="1:65" x14ac:dyDescent="0.2">
      <c r="A84" s="3"/>
      <c r="B84" s="3"/>
      <c r="C84" s="3"/>
      <c r="D84" s="3"/>
      <c r="E84" s="3"/>
      <c r="F84" s="3"/>
      <c r="G84" s="3"/>
      <c r="H84" s="3"/>
      <c r="I84" s="3"/>
      <c r="L84" s="2"/>
      <c r="M84" s="2"/>
      <c r="N84" s="2"/>
    </row>
    <row r="85" spans="1:65" x14ac:dyDescent="0.2">
      <c r="A85" s="3"/>
      <c r="B85" s="3"/>
      <c r="C85" s="3"/>
      <c r="D85" s="3"/>
      <c r="E85" s="3"/>
      <c r="F85" s="3"/>
      <c r="G85" s="3"/>
      <c r="H85" s="3"/>
      <c r="I85" s="3"/>
      <c r="L85" s="2"/>
      <c r="M85" s="2"/>
      <c r="N85" s="2"/>
    </row>
    <row r="86" spans="1:65" x14ac:dyDescent="0.2">
      <c r="A86" s="3"/>
      <c r="B86" s="3"/>
      <c r="C86" s="3"/>
      <c r="D86" s="3"/>
      <c r="E86" s="3"/>
      <c r="F86" s="3"/>
      <c r="G86" s="3"/>
      <c r="H86" s="3"/>
      <c r="I86" s="3"/>
      <c r="L86" s="2"/>
      <c r="M86" s="2"/>
      <c r="N86" s="2"/>
    </row>
    <row r="87" spans="1:65" x14ac:dyDescent="0.2">
      <c r="A87" s="3"/>
      <c r="B87" s="3"/>
      <c r="C87" s="3"/>
      <c r="D87" s="3"/>
      <c r="E87" s="3"/>
      <c r="F87" s="3"/>
      <c r="G87" s="3"/>
      <c r="H87" s="3"/>
      <c r="I87" s="3"/>
      <c r="L87" s="2"/>
      <c r="M87" s="2"/>
      <c r="N87" s="2"/>
    </row>
    <row r="88" spans="1:65" x14ac:dyDescent="0.2">
      <c r="A88" s="3"/>
      <c r="B88" s="3"/>
      <c r="C88" s="3"/>
      <c r="D88" s="3"/>
      <c r="E88" s="3"/>
      <c r="F88" s="3"/>
      <c r="G88" s="3"/>
      <c r="H88" s="3"/>
      <c r="I88" s="3"/>
      <c r="L88" s="3"/>
      <c r="M88" s="4"/>
      <c r="N88" s="3"/>
    </row>
    <row r="89" spans="1:6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BKM 16-1</vt:lpstr>
      <vt:lpstr>BKM 16-2</vt:lpstr>
      <vt:lpstr>BKM 16-3</vt:lpstr>
      <vt:lpstr>BKM 16-4</vt:lpstr>
      <vt:lpstr>BKM 16-5</vt:lpstr>
      <vt:lpstr>BKM 16-6</vt:lpstr>
      <vt:lpstr>BKM 16-7</vt:lpstr>
      <vt:lpstr>BKM 16-8</vt:lpstr>
      <vt:lpstr>BKM 16-9</vt:lpstr>
      <vt:lpstr>BKM 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Roll</dc:creator>
  <cp:lastModifiedBy>Microsoft Office User</cp:lastModifiedBy>
  <dcterms:created xsi:type="dcterms:W3CDTF">2020-12-21T16:38:44Z</dcterms:created>
  <dcterms:modified xsi:type="dcterms:W3CDTF">2022-04-26T00:17:47Z</dcterms:modified>
</cp:coreProperties>
</file>