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ichaelmcphail/Documents/Casual_Fellows/Exam7/CF_Exam7_OPs_CBT/"/>
    </mc:Choice>
  </mc:AlternateContent>
  <xr:revisionPtr revIDLastSave="0" documentId="13_ncr:1_{A4ED13E9-4245-9448-8CB5-4CA884FBF757}" xr6:coauthVersionLast="45" xr6:coauthVersionMax="45" xr10:uidLastSave="{00000000-0000-0000-0000-000000000000}"/>
  <bookViews>
    <workbookView xWindow="14260" yWindow="500" windowWidth="23260" windowHeight="18780" tabRatio="500" xr2:uid="{00000000-000D-0000-FFFF-FFFF00000000}"/>
  </bookViews>
  <sheets>
    <sheet name="MP #1" sheetId="1" r:id="rId1"/>
    <sheet name="MP #2" sheetId="3" r:id="rId2"/>
    <sheet name="MP #3" sheetId="4" r:id="rId3"/>
    <sheet name="MP #4" sheetId="7" r:id="rId4"/>
    <sheet name="MP #5" sheetId="9" r:id="rId5"/>
    <sheet name="MP #6" sheetId="10" r:id="rId6"/>
    <sheet name="EPs" sheetId="12" r:id="rId7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0" l="1"/>
  <c r="O7" i="10"/>
  <c r="O8" i="10"/>
  <c r="O6" i="10"/>
  <c r="P6" i="10" s="1"/>
  <c r="Q6" i="10" s="1"/>
  <c r="P7" i="10"/>
  <c r="Q7" i="10" s="1"/>
  <c r="P8" i="10"/>
  <c r="Q8" i="10" s="1"/>
  <c r="N8" i="10"/>
  <c r="N7" i="10"/>
  <c r="N6" i="10"/>
  <c r="K8" i="10"/>
  <c r="K7" i="10"/>
  <c r="K6" i="10"/>
  <c r="K11" i="9"/>
  <c r="S8" i="9"/>
  <c r="S9" i="9"/>
  <c r="S7" i="9"/>
  <c r="R8" i="9"/>
  <c r="R9" i="9"/>
  <c r="R7" i="9"/>
  <c r="Q7" i="9"/>
  <c r="Q9" i="9"/>
  <c r="Q8" i="9"/>
  <c r="P7" i="9"/>
  <c r="P8" i="9"/>
  <c r="P9" i="9"/>
  <c r="O8" i="9"/>
  <c r="O9" i="9"/>
  <c r="O7" i="9"/>
  <c r="N8" i="9"/>
  <c r="N9" i="9"/>
  <c r="N7" i="9"/>
  <c r="M8" i="9"/>
  <c r="M9" i="9"/>
  <c r="M7" i="9"/>
  <c r="K8" i="9"/>
  <c r="K9" i="9"/>
  <c r="K7" i="9"/>
  <c r="L28" i="7"/>
  <c r="M28" i="7"/>
  <c r="L29" i="7"/>
  <c r="K29" i="7"/>
  <c r="K30" i="7"/>
  <c r="K28" i="7"/>
  <c r="K21" i="7"/>
  <c r="K20" i="7"/>
  <c r="K19" i="7"/>
  <c r="K18" i="7"/>
  <c r="K16" i="7"/>
  <c r="K15" i="7"/>
  <c r="L6" i="7"/>
  <c r="M6" i="7"/>
  <c r="L7" i="7"/>
  <c r="K7" i="7"/>
  <c r="K8" i="7"/>
  <c r="K6" i="7"/>
  <c r="K60" i="4"/>
  <c r="M55" i="4"/>
  <c r="M54" i="4"/>
  <c r="L53" i="4"/>
  <c r="L54" i="4"/>
  <c r="M53" i="4" s="1"/>
  <c r="L56" i="4"/>
  <c r="K56" i="4"/>
  <c r="K55" i="4"/>
  <c r="L55" i="4" s="1"/>
  <c r="K54" i="4"/>
  <c r="K53" i="4"/>
  <c r="L48" i="4"/>
  <c r="M43" i="4"/>
  <c r="M42" i="4"/>
  <c r="M41" i="4"/>
  <c r="M40" i="4"/>
  <c r="K44" i="4"/>
  <c r="L44" i="4" s="1"/>
  <c r="K43" i="4"/>
  <c r="L43" i="4" s="1"/>
  <c r="K42" i="4"/>
  <c r="L42" i="4" s="1"/>
  <c r="K41" i="4"/>
  <c r="L41" i="4" s="1"/>
  <c r="L40" i="4"/>
  <c r="K40" i="4"/>
  <c r="M32" i="4"/>
  <c r="M31" i="4"/>
  <c r="L30" i="4"/>
  <c r="L31" i="4"/>
  <c r="L32" i="4"/>
  <c r="L33" i="4"/>
  <c r="K15" i="4"/>
  <c r="K33" i="4"/>
  <c r="K32" i="4"/>
  <c r="K31" i="4"/>
  <c r="K30" i="4"/>
  <c r="L21" i="4"/>
  <c r="L22" i="4"/>
  <c r="M21" i="4" s="1"/>
  <c r="L23" i="4"/>
  <c r="K10" i="4"/>
  <c r="K22" i="4"/>
  <c r="K23" i="4"/>
  <c r="K21" i="4"/>
  <c r="K16" i="4"/>
  <c r="K14" i="4"/>
  <c r="O7" i="4"/>
  <c r="O8" i="4"/>
  <c r="O6" i="4"/>
  <c r="N7" i="4"/>
  <c r="N8" i="4"/>
  <c r="N6" i="4"/>
  <c r="L7" i="4"/>
  <c r="L8" i="4"/>
  <c r="L6" i="4"/>
  <c r="K7" i="4"/>
  <c r="K8" i="4"/>
  <c r="K6" i="4"/>
  <c r="P8" i="4"/>
  <c r="L31" i="3"/>
  <c r="L30" i="3"/>
  <c r="L29" i="3"/>
  <c r="L25" i="3"/>
  <c r="L24" i="3"/>
  <c r="L23" i="3"/>
  <c r="P16" i="3"/>
  <c r="P17" i="3"/>
  <c r="P15" i="3"/>
  <c r="O17" i="3"/>
  <c r="O16" i="3"/>
  <c r="O15" i="3"/>
  <c r="O7" i="3"/>
  <c r="O8" i="3"/>
  <c r="O6" i="3"/>
  <c r="N7" i="3"/>
  <c r="N8" i="3"/>
  <c r="N6" i="3"/>
  <c r="L7" i="3"/>
  <c r="L16" i="3" s="1"/>
  <c r="L8" i="3"/>
  <c r="L6" i="3"/>
  <c r="L15" i="3" s="1"/>
  <c r="K7" i="3"/>
  <c r="K8" i="3"/>
  <c r="K17" i="3" s="1"/>
  <c r="K6" i="3"/>
  <c r="K15" i="3" s="1"/>
  <c r="L17" i="3"/>
  <c r="K16" i="3"/>
  <c r="P8" i="3"/>
  <c r="M17" i="3"/>
  <c r="N17" i="3" s="1"/>
  <c r="J17" i="3"/>
  <c r="M16" i="3"/>
  <c r="N16" i="3" s="1"/>
  <c r="J16" i="3"/>
  <c r="M15" i="3"/>
  <c r="N15" i="3" s="1"/>
  <c r="J15" i="3"/>
  <c r="K36" i="1"/>
  <c r="K32" i="1"/>
  <c r="Q29" i="1"/>
  <c r="Q30" i="1"/>
  <c r="Q28" i="1"/>
  <c r="P30" i="1"/>
  <c r="P29" i="1"/>
  <c r="P28" i="1"/>
  <c r="N28" i="1"/>
  <c r="O28" i="1" s="1"/>
  <c r="N29" i="1"/>
  <c r="N30" i="1"/>
  <c r="N27" i="1"/>
  <c r="O27" i="1"/>
  <c r="O30" i="1"/>
  <c r="O29" i="1"/>
  <c r="L28" i="1"/>
  <c r="M28" i="1"/>
  <c r="L29" i="1"/>
  <c r="M29" i="1"/>
  <c r="L30" i="1"/>
  <c r="M30" i="1"/>
  <c r="K29" i="1"/>
  <c r="K30" i="1"/>
  <c r="K28" i="1"/>
  <c r="J29" i="1"/>
  <c r="J30" i="1"/>
  <c r="J28" i="1"/>
  <c r="K22" i="1"/>
  <c r="P19" i="1"/>
  <c r="P20" i="1"/>
  <c r="P18" i="1"/>
  <c r="O18" i="1"/>
  <c r="O19" i="1"/>
  <c r="O20" i="1"/>
  <c r="K19" i="1"/>
  <c r="K20" i="1"/>
  <c r="K18" i="1"/>
  <c r="L18" i="1"/>
  <c r="M18" i="1"/>
  <c r="N18" i="1"/>
  <c r="L19" i="1"/>
  <c r="M19" i="1"/>
  <c r="N19" i="1"/>
  <c r="L20" i="1"/>
  <c r="M20" i="1"/>
  <c r="N20" i="1"/>
  <c r="J19" i="1"/>
  <c r="J20" i="1"/>
  <c r="J18" i="1"/>
  <c r="K11" i="1"/>
  <c r="P8" i="1"/>
  <c r="P9" i="1"/>
  <c r="P7" i="1"/>
  <c r="O9" i="1"/>
  <c r="O8" i="1"/>
  <c r="O7" i="1"/>
  <c r="N7" i="1"/>
  <c r="N8" i="1"/>
  <c r="N9" i="1"/>
  <c r="N6" i="1"/>
  <c r="M7" i="1"/>
  <c r="M8" i="1"/>
  <c r="M9" i="1"/>
  <c r="M6" i="1"/>
  <c r="K8" i="1"/>
  <c r="K9" i="1"/>
  <c r="K7" i="1"/>
  <c r="J9" i="1"/>
  <c r="J8" i="1"/>
  <c r="J7" i="1"/>
  <c r="K37" i="7" l="1"/>
  <c r="K38" i="7" s="1"/>
  <c r="M58" i="4"/>
  <c r="M46" i="4"/>
  <c r="M30" i="4"/>
  <c r="M35" i="4" s="1"/>
  <c r="M22" i="4"/>
  <c r="M25" i="4" s="1"/>
  <c r="P7" i="4"/>
  <c r="P6" i="4"/>
  <c r="P7" i="3"/>
  <c r="P6" i="3"/>
  <c r="K10" i="3" s="1"/>
  <c r="K40" i="7" l="1"/>
  <c r="K41" i="7" s="1"/>
  <c r="K42" i="7" s="1"/>
  <c r="K43" i="7" s="1"/>
  <c r="K19" i="3"/>
</calcChain>
</file>

<file path=xl/sharedStrings.xml><?xml version="1.0" encoding="utf-8"?>
<sst xmlns="http://schemas.openxmlformats.org/spreadsheetml/2006/main" count="441" uniqueCount="214">
  <si>
    <t>Source:</t>
  </si>
  <si>
    <t>b.</t>
  </si>
  <si>
    <t>Solution -&gt;</t>
  </si>
  <si>
    <t>Part a:</t>
  </si>
  <si>
    <t>Part b:</t>
  </si>
  <si>
    <t>Casual Fellow</t>
  </si>
  <si>
    <t>MP #1</t>
  </si>
  <si>
    <t>method.</t>
  </si>
  <si>
    <t>AY</t>
  </si>
  <si>
    <t>12 mo.</t>
  </si>
  <si>
    <t>24 mo.</t>
  </si>
  <si>
    <t>36 mo.</t>
  </si>
  <si>
    <t>a.</t>
  </si>
  <si>
    <t>MP #2</t>
  </si>
  <si>
    <t>MP #3</t>
  </si>
  <si>
    <t>MP #4</t>
  </si>
  <si>
    <t>MP #5</t>
  </si>
  <si>
    <t>c.</t>
  </si>
  <si>
    <t>LDF</t>
  </si>
  <si>
    <t>Part c:</t>
  </si>
  <si>
    <t>MP #6</t>
  </si>
  <si>
    <t>EP #1</t>
  </si>
  <si>
    <t>ES #1</t>
  </si>
  <si>
    <t>EP #2</t>
  </si>
  <si>
    <t>EP #3</t>
  </si>
  <si>
    <t>EP #4</t>
  </si>
  <si>
    <t>EP #5</t>
  </si>
  <si>
    <t>ES #2</t>
  </si>
  <si>
    <t>Solutions -&gt;</t>
  </si>
  <si>
    <t>EPs</t>
  </si>
  <si>
    <t>Clark</t>
  </si>
  <si>
    <t>Given the following for an insurer as of December 31, 2012:</t>
  </si>
  <si>
    <t>Accident</t>
  </si>
  <si>
    <t>Year</t>
  </si>
  <si>
    <t>Reported Losses</t>
  </si>
  <si>
    <t>at 12/31/12</t>
  </si>
  <si>
    <t>On-Level</t>
  </si>
  <si>
    <t>Premium</t>
  </si>
  <si>
    <t>Expected loss emergence is described by a Loglogistic curve with the following</t>
  </si>
  <si>
    <t>parameters:</t>
  </si>
  <si>
    <t>Loglogistic</t>
  </si>
  <si>
    <t>Parameters</t>
  </si>
  <si>
    <t>Method</t>
  </si>
  <si>
    <t>Cape Cod</t>
  </si>
  <si>
    <t>⍵</t>
  </si>
  <si>
    <t>θ</t>
  </si>
  <si>
    <t>Estimate the reserves as of December 31, 2012 using the LDF method with a</t>
  </si>
  <si>
    <t>truncation points of five years.</t>
  </si>
  <si>
    <t>Estimate the reserves as of December 31, 2012 using the Cape Cod with a</t>
  </si>
  <si>
    <t>truncation point of five years.</t>
  </si>
  <si>
    <t>Calculate the incremental fitted payment for accident year 2012 at 12 months using</t>
  </si>
  <si>
    <t>the Cape Cod method.</t>
  </si>
  <si>
    <t>Create the following table:</t>
  </si>
  <si>
    <t>Trunc Point</t>
  </si>
  <si>
    <t>Losses</t>
  </si>
  <si>
    <t>Age</t>
  </si>
  <si>
    <t>Avg. Age</t>
  </si>
  <si>
    <t>Growth</t>
  </si>
  <si>
    <t>Trunc. LDF</t>
  </si>
  <si>
    <t>Reserves</t>
  </si>
  <si>
    <t>Calculate the ELR:</t>
  </si>
  <si>
    <t>Prem. * Growth</t>
  </si>
  <si>
    <t>ELR</t>
  </si>
  <si>
    <t>Estimate the reserves:</t>
  </si>
  <si>
    <t>Trunc. Point</t>
  </si>
  <si>
    <t>0.923 - Growth</t>
  </si>
  <si>
    <t>Fitted Payment</t>
  </si>
  <si>
    <t>Note that we do not consider truncation here to calculate the fitted payment. We only use a truncated unpaid</t>
  </si>
  <si>
    <t>-Variance/mean ratio =</t>
  </si>
  <si>
    <t>-Expected 2013 premium =</t>
  </si>
  <si>
    <t>-The parameter covariance matrix is as follows:</t>
  </si>
  <si>
    <t>Estimate the reserves as of December 31, 2012 using the Cape Cod method.</t>
  </si>
  <si>
    <t>Calculate the process standard deviation of the 2013 expected losses using the Cape</t>
  </si>
  <si>
    <t>Cod method.</t>
  </si>
  <si>
    <t>Calculate the coefficient of variation of the 2013 expected losses using the Cape Cod</t>
  </si>
  <si>
    <t>2013 Expected losses</t>
  </si>
  <si>
    <t>Process Variance</t>
  </si>
  <si>
    <t>Process SD</t>
  </si>
  <si>
    <t>Parameter Variance</t>
  </si>
  <si>
    <t>&lt;-Var(ELR*Prem) = Prem^2*Var(ELR)</t>
  </si>
  <si>
    <t>Total SD</t>
  </si>
  <si>
    <t>Total CoV</t>
  </si>
  <si>
    <t>Paid Losses</t>
  </si>
  <si>
    <r>
      <t xml:space="preserve">-The interest rate </t>
    </r>
    <r>
      <rPr>
        <i/>
        <sz val="12"/>
        <color theme="1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is:</t>
    </r>
  </si>
  <si>
    <t>-</t>
  </si>
  <si>
    <t>Estimate the discounted reserves as of December 31, 2012 using the Cape Cod</t>
  </si>
  <si>
    <t>method with a truncation point of five years.</t>
  </si>
  <si>
    <t>Calculate the expected losses for each year:</t>
  </si>
  <si>
    <t>Discounted reserves for 2010:</t>
  </si>
  <si>
    <t>Discounted Reserves</t>
  </si>
  <si>
    <t>Total</t>
  </si>
  <si>
    <t>Discounted reserves for 2011:</t>
  </si>
  <si>
    <t>Total Disc. Reserves</t>
  </si>
  <si>
    <t>Calculate the process standard deviation of the 2011 discounted reserves.</t>
  </si>
  <si>
    <t>Process Var. Excl. Sigma^2</t>
  </si>
  <si>
    <t>Given the following incremental losses and reserves:</t>
  </si>
  <si>
    <t>Reported Losses ($)</t>
  </si>
  <si>
    <t>Fitted Losses - LDF ($)</t>
  </si>
  <si>
    <t>Fitted Losses - Cape Cod ($)</t>
  </si>
  <si>
    <t>-A loglogistic curve with two parameters was used to describe expected loss emergence</t>
  </si>
  <si>
    <t>-Parameter variance (LDF):</t>
  </si>
  <si>
    <t>-Parameter variance (Cape Cod):</t>
  </si>
  <si>
    <t>Calculate the coefficient of variation of the reserves as of December 31, 2012 using</t>
  </si>
  <si>
    <t>the LDF method.</t>
  </si>
  <si>
    <t>constant using a residual plot.</t>
  </si>
  <si>
    <t>Create the chi-square triangle:</t>
  </si>
  <si>
    <t>Cells in the above triangle calculated as (actual-expected)^2/expected</t>
  </si>
  <si>
    <t>n</t>
  </si>
  <si>
    <t>&lt;-number of data points</t>
  </si>
  <si>
    <t>p</t>
  </si>
  <si>
    <t>&lt;-number of parameters (two from growth curve plus three AYs)</t>
  </si>
  <si>
    <t>Total Chi-Square Error</t>
  </si>
  <si>
    <t>Var/Mean Ratio</t>
  </si>
  <si>
    <t>&lt;-1/(n-p)*Chi-Square Error</t>
  </si>
  <si>
    <t>&lt;-sigma^2*reserves</t>
  </si>
  <si>
    <t>Total Variance</t>
  </si>
  <si>
    <t>&lt;-number of parameters (two from growth curve plus ELR)</t>
  </si>
  <si>
    <t>Describe how one can test the assumption that the variance/mean ratio is</t>
  </si>
  <si>
    <t>Plot the normalized residuals against the expected incremental losses, where</t>
  </si>
  <si>
    <t>the normalized residuals are equal to (actual-expected)/sqrt(sigma^2*expected)</t>
  </si>
  <si>
    <t>If the normalized residuals are randomly scattered around the x-axis, then we</t>
  </si>
  <si>
    <t>can assume that the variance/mean ratio is constant</t>
  </si>
  <si>
    <t>Estimate the calendar year 2013 development.</t>
  </si>
  <si>
    <t>Give a major reason for estimating next year's development.</t>
  </si>
  <si>
    <t>at 12/31/13</t>
  </si>
  <si>
    <t>Estimated</t>
  </si>
  <si>
    <t>Ultimate</t>
  </si>
  <si>
    <t>CY 2013 Dev.</t>
  </si>
  <si>
    <t>A major reason for calculating the CY 2013 development is that the estimate is quickly testable. One year later,</t>
  </si>
  <si>
    <t>we can compare it to the actual development and see if it was within the forecast range.</t>
  </si>
  <si>
    <t>Given the following for an insurer as of September 30, 2012:</t>
  </si>
  <si>
    <t>at 9/30/12</t>
  </si>
  <si>
    <t>Estimate the annualized reserves as of September 30, 2012 using the LDF method.</t>
  </si>
  <si>
    <t>Exposure</t>
  </si>
  <si>
    <t>Fitted LDF</t>
  </si>
  <si>
    <t>Est. Reserves</t>
  </si>
  <si>
    <t>Total Reserves</t>
  </si>
  <si>
    <t>Prove three advantages of using parameterized curves to describe loss emergence patterns.</t>
  </si>
  <si>
    <t>In a stochastic framework, explain why the Cape Cod method is preferred over the LDF</t>
  </si>
  <si>
    <t>method when few data points exist.</t>
  </si>
  <si>
    <t>Briefly describe the two components of the variance of the actual loss emergence.</t>
  </si>
  <si>
    <t xml:space="preserve">Provide two advantages of using the over-dispersed Poisson distribution to model the </t>
  </si>
  <si>
    <t>actual loss emergence.</t>
  </si>
  <si>
    <t>Fully describe the key assumptions underlying the model outlined in Clark.</t>
  </si>
  <si>
    <t>EP #6</t>
  </si>
  <si>
    <t>Briefly describe three graphical tests that can be used to validate Clark's model assumptions.</t>
  </si>
  <si>
    <t>EP #7</t>
  </si>
  <si>
    <t>Briefly explain why it might be necessary to truncate LDFs when using growth curves.</t>
  </si>
  <si>
    <t>EP #8</t>
  </si>
  <si>
    <t xml:space="preserve">Compare and contrast the process and parameter variances of the Cape Cod method and the </t>
  </si>
  <si>
    <t>LDF method.</t>
  </si>
  <si>
    <t>EP #9</t>
  </si>
  <si>
    <t xml:space="preserve">An actuary used maximum likelihood to parameterize a reserving model.  Due to management </t>
  </si>
  <si>
    <t>discretion, the carried reserves differ from the maximum likelihood estimate.</t>
  </si>
  <si>
    <t xml:space="preserve">Explain why it may NOT be appropriate to use the coefficient of variation in the </t>
  </si>
  <si>
    <t>model to describe the carried reserve.</t>
  </si>
  <si>
    <t>Explain why it may be appropriate to use the coefficient of variation in the model</t>
  </si>
  <si>
    <t>to describe the carried reserve.</t>
  </si>
  <si>
    <t>-Estimation is simple since we only have to estimate two parameters</t>
  </si>
  <si>
    <t>-We can use data from triangles that do NOT have evenly spaced evaluation data</t>
  </si>
  <si>
    <t>-The final pattern is smooth and does not follow random movements in the historical age-to-age factors</t>
  </si>
  <si>
    <t xml:space="preserve">The Cape Cod method is preferred since it requires the estimation of fewer parameters.  </t>
  </si>
  <si>
    <t xml:space="preserve">Since the LDF method requires a parameter for each AY, as well as the parameters for the growth </t>
  </si>
  <si>
    <t>curve, it tends to be over-parameterized when few data points exist.</t>
  </si>
  <si>
    <t>ES #3</t>
  </si>
  <si>
    <t>-Process variance - The random variation in the actual loss emergence</t>
  </si>
  <si>
    <t>-Parameter variance - The uncertainty in the estimator</t>
  </si>
  <si>
    <t>ES #4</t>
  </si>
  <si>
    <t xml:space="preserve">-Inclusion of scaling factors allows us to match the first and second moments of any distribution.  </t>
  </si>
  <si>
    <t xml:space="preserve"> Thus, there is high flexibility</t>
  </si>
  <si>
    <t xml:space="preserve">-Maximum likelihood estimation produces the LDF and Cape Cod estimates of ultimate losses.  </t>
  </si>
  <si>
    <t xml:space="preserve"> Thus, the results can be presented in a familiar format</t>
  </si>
  <si>
    <t>ES #5</t>
  </si>
  <si>
    <t>Assumption 1: Incremental losses are independent and identically distributed (iid)</t>
  </si>
  <si>
    <t>``Independence" means that one period does not affect the surrounding periods</t>
  </si>
  <si>
    <t xml:space="preserve">``Identically distributed" assumes that the emergence pattern is the same for all </t>
  </si>
  <si>
    <t xml:space="preserve">  accident years, which is clearly over-simplified</t>
  </si>
  <si>
    <t>Assumption 2: The variance/mean scale parameter sigma^2 is fixed and known</t>
  </si>
  <si>
    <t xml:space="preserve">the other model parameters, with the variance around its estimate included in </t>
  </si>
  <si>
    <t xml:space="preserve">the covariance matrix.  However, doing so results in messy mathematics.  For </t>
  </si>
  <si>
    <t xml:space="preserve">Technically, sigma^2 should be estimated simultaneously with </t>
  </si>
  <si>
    <t>convenience and simplicity, we assume that sigma^2 is fixed and known</t>
  </si>
  <si>
    <t xml:space="preserve">Assumption 3: Variance estimates are based on an approximation to the Rao-Cramer </t>
  </si>
  <si>
    <t>lower bound</t>
  </si>
  <si>
    <t xml:space="preserve">The estimate of variance based on the information matrix is only exact </t>
  </si>
  <si>
    <t>when we are using linear functions</t>
  </si>
  <si>
    <t xml:space="preserve">Since our model is non-linear, the variance estimate is a Rao-Cramer lower </t>
  </si>
  <si>
    <t>bound (i.e. the variance estimate is as low as it possibly can be)</t>
  </si>
  <si>
    <t>ES #6</t>
  </si>
  <si>
    <t>Plot the normalized residuals against the following:</t>
  </si>
  <si>
    <t xml:space="preserve">-Increment age -- if residuals are randomly scattered around zero with a roughly </t>
  </si>
  <si>
    <t xml:space="preserve"> constant variance, we can assume the growth curve is appropriate</t>
  </si>
  <si>
    <t xml:space="preserve">-Expected loss in each increment age -- if residuals are randomly scattered around </t>
  </si>
  <si>
    <t xml:space="preserve"> is constant</t>
  </si>
  <si>
    <t xml:space="preserve"> zero with a roughly constant variance, we can assume the variance/mean ratio</t>
  </si>
  <si>
    <t>-Calendar year -- if residuals are randomly scattered around zero with a roughly</t>
  </si>
  <si>
    <t xml:space="preserve"> constant variance, we can assume that there are no calendar year effects</t>
  </si>
  <si>
    <t>ES #7</t>
  </si>
  <si>
    <t xml:space="preserve">For curves with heavy tails (such as loglogistic), it may be necessary to truncate the </t>
  </si>
  <si>
    <t>LDF at a finite point in time to reduce reliance on the extrapolation</t>
  </si>
  <si>
    <t>ES #8</t>
  </si>
  <si>
    <t>Process variance -- the Cape Cod method can produce a higher or lower process</t>
  </si>
  <si>
    <t>variance than the LDF method</t>
  </si>
  <si>
    <t xml:space="preserve">Parameter variance -- the Cape Cod method produces a lower parameter variance </t>
  </si>
  <si>
    <t xml:space="preserve">than the LDF method since it requires fewer parameters and incorporates information from </t>
  </si>
  <si>
    <t>the exposure base</t>
  </si>
  <si>
    <t>ES #9</t>
  </si>
  <si>
    <t xml:space="preserve">Since the standard deviation in the MLE model is directly tied to the maximum likelihood </t>
  </si>
  <si>
    <t>estimate, it may not appropriate for the carried reserves</t>
  </si>
  <si>
    <t xml:space="preserve">Since the final carried reserve is a selection based on a number of factors, it stands to reason </t>
  </si>
  <si>
    <t xml:space="preserve">that the standard deviation should also be a selection.  The output from the MLE model is a reasonable </t>
  </si>
  <si>
    <t>basis for that selection</t>
  </si>
  <si>
    <t xml:space="preserve">percentage when calculating the reserve </t>
  </si>
  <si>
    <t>Expected loss emergence is described by a Weibull curve with the following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</si>
</sst>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#,##0.000"/>
    <numFmt numFmtId="167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quotePrefix="1" applyAlignment="1"/>
    <xf numFmtId="6" fontId="0" fillId="0" borderId="0" xfId="0" applyNumberFormat="1"/>
    <xf numFmtId="2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/>
    <xf numFmtId="6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0" borderId="0" xfId="0" applyNumberFormat="1" applyFont="1"/>
    <xf numFmtId="3" fontId="0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3" fontId="1" fillId="0" borderId="0" xfId="0" applyNumberFormat="1" applyFont="1"/>
    <xf numFmtId="164" fontId="0" fillId="0" borderId="0" xfId="0" applyNumberFormat="1" applyFont="1"/>
    <xf numFmtId="0" fontId="0" fillId="0" borderId="0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4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13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8" fontId="0" fillId="0" borderId="0" xfId="0" applyNumberFormat="1" applyFont="1"/>
    <xf numFmtId="0" fontId="0" fillId="0" borderId="0" xfId="0" applyFont="1" applyAlignment="1">
      <alignment horizontal="center"/>
    </xf>
    <xf numFmtId="43" fontId="0" fillId="0" borderId="0" xfId="1" applyFont="1"/>
    <xf numFmtId="0" fontId="0" fillId="0" borderId="0" xfId="0" quotePrefix="1"/>
    <xf numFmtId="166" fontId="0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NumberFormat="1" applyFont="1"/>
    <xf numFmtId="165" fontId="3" fillId="0" borderId="0" xfId="1" applyNumberFormat="1" applyFont="1" applyAlignment="1">
      <alignment horizontal="center"/>
    </xf>
    <xf numFmtId="165" fontId="0" fillId="0" borderId="0" xfId="0" applyNumberFormat="1" applyFont="1"/>
    <xf numFmtId="43" fontId="0" fillId="0" borderId="0" xfId="0" applyNumberFormat="1" applyFont="1"/>
    <xf numFmtId="165" fontId="3" fillId="0" borderId="0" xfId="1" applyNumberFormat="1" applyFont="1"/>
    <xf numFmtId="0" fontId="5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6" fontId="0" fillId="0" borderId="0" xfId="0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12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1" xfId="0" quotePrefix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" fontId="0" fillId="0" borderId="0" xfId="0" applyNumberFormat="1" applyFont="1"/>
    <xf numFmtId="0" fontId="7" fillId="0" borderId="0" xfId="0" applyFont="1"/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/>
    <xf numFmtId="0" fontId="0" fillId="0" borderId="10" xfId="0" quotePrefix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165" fontId="3" fillId="0" borderId="0" xfId="1" applyNumberFormat="1" applyFont="1" applyAlignment="1">
      <alignment horizontal="left"/>
    </xf>
    <xf numFmtId="167" fontId="0" fillId="0" borderId="0" xfId="1" applyNumberFormat="1" applyFont="1"/>
    <xf numFmtId="167" fontId="0" fillId="0" borderId="0" xfId="0" applyNumberFormat="1" applyFont="1"/>
    <xf numFmtId="6" fontId="0" fillId="0" borderId="9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9" fillId="0" borderId="0" xfId="0" quotePrefix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107950</xdr:colOff>
      <xdr:row>19</xdr:row>
      <xdr:rowOff>25400</xdr:rowOff>
    </xdr:from>
    <xdr:ext cx="332655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F956437-B16E-F940-9A5D-71D6718DB4E5}"/>
                </a:ext>
              </a:extLst>
            </xdr:cNvPr>
            <xdr:cNvSpPr txBox="1"/>
          </xdr:nvSpPr>
          <xdr:spPr>
            <a:xfrm>
              <a:off x="107950" y="3886200"/>
              <a:ext cx="33265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F956437-B16E-F940-9A5D-71D6718DB4E5}"/>
                </a:ext>
              </a:extLst>
            </xdr:cNvPr>
            <xdr:cNvSpPr txBox="1"/>
          </xdr:nvSpPr>
          <xdr:spPr>
            <a:xfrm>
              <a:off x="107950" y="3886200"/>
              <a:ext cx="33265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𝜎^2=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style="10" hidden="1" customWidth="1" outlineLevel="1"/>
    <col min="11" max="14" width="10.83203125" style="10" hidden="1" customWidth="1" outlineLevel="1"/>
    <col min="15" max="15" width="12" style="10" hidden="1" customWidth="1" outlineLevel="1"/>
    <col min="16" max="16" width="14.1640625" style="10" hidden="1" customWidth="1" outlineLevel="1"/>
    <col min="17" max="17" width="10.83203125" hidden="1" customWidth="1" outlineLevel="1"/>
    <col min="18" max="18" width="10.83203125" collapsed="1"/>
  </cols>
  <sheetData>
    <row r="1" spans="1:16" x14ac:dyDescent="0.2">
      <c r="A1" s="2" t="s">
        <v>0</v>
      </c>
      <c r="B1" s="1" t="s">
        <v>5</v>
      </c>
      <c r="C1" s="1" t="s">
        <v>30</v>
      </c>
      <c r="D1" s="1" t="s">
        <v>6</v>
      </c>
      <c r="I1" s="2" t="s">
        <v>2</v>
      </c>
      <c r="J1" s="2" t="s">
        <v>3</v>
      </c>
    </row>
    <row r="2" spans="1:16" x14ac:dyDescent="0.2">
      <c r="K2" s="22"/>
    </row>
    <row r="3" spans="1:16" x14ac:dyDescent="0.2">
      <c r="A3" s="5" t="s">
        <v>31</v>
      </c>
      <c r="B3" s="1"/>
      <c r="J3" s="31" t="s">
        <v>52</v>
      </c>
      <c r="K3" s="27"/>
    </row>
    <row r="4" spans="1:16" x14ac:dyDescent="0.2">
      <c r="A4" s="5"/>
      <c r="B4" s="1"/>
      <c r="K4" s="27"/>
    </row>
    <row r="5" spans="1:16" x14ac:dyDescent="0.2">
      <c r="A5" s="19" t="s">
        <v>32</v>
      </c>
      <c r="B5" s="61" t="s">
        <v>34</v>
      </c>
      <c r="C5" s="34" t="s">
        <v>36</v>
      </c>
      <c r="J5" s="10" t="s">
        <v>8</v>
      </c>
      <c r="K5" s="27" t="s">
        <v>54</v>
      </c>
      <c r="L5" s="10" t="s">
        <v>55</v>
      </c>
      <c r="M5" s="10" t="s">
        <v>56</v>
      </c>
      <c r="N5" s="10" t="s">
        <v>57</v>
      </c>
      <c r="O5" s="10" t="s">
        <v>58</v>
      </c>
      <c r="P5" s="10" t="s">
        <v>59</v>
      </c>
    </row>
    <row r="6" spans="1:16" x14ac:dyDescent="0.2">
      <c r="A6" s="20" t="s">
        <v>33</v>
      </c>
      <c r="B6" s="12" t="s">
        <v>35</v>
      </c>
      <c r="C6" s="15" t="s">
        <v>37</v>
      </c>
      <c r="J6" s="10" t="s">
        <v>53</v>
      </c>
      <c r="K6" s="27"/>
      <c r="L6" s="10">
        <v>60</v>
      </c>
      <c r="M6" s="10">
        <f>L6-6</f>
        <v>54</v>
      </c>
      <c r="N6" s="27">
        <f>M6^($B$16)/($B$17^$B$16+M6^$B$16)</f>
        <v>0.9394077795301512</v>
      </c>
    </row>
    <row r="7" spans="1:16" x14ac:dyDescent="0.2">
      <c r="A7" s="21">
        <v>2010</v>
      </c>
      <c r="B7" s="62">
        <v>7500</v>
      </c>
      <c r="C7" s="64">
        <v>15000</v>
      </c>
      <c r="J7" s="10">
        <f>A7</f>
        <v>2010</v>
      </c>
      <c r="K7" s="76">
        <f>B7</f>
        <v>7500</v>
      </c>
      <c r="L7" s="10">
        <v>36</v>
      </c>
      <c r="M7" s="10">
        <f t="shared" ref="M7:M9" si="0">L7-6</f>
        <v>30</v>
      </c>
      <c r="N7" s="27">
        <f t="shared" ref="N7:N9" si="1">M7^($B$16)/($B$17^$B$16+M7^$B$16)</f>
        <v>0.88449868863731362</v>
      </c>
      <c r="O7" s="27">
        <f>N6/N7</f>
        <v>1.0620793355583513</v>
      </c>
      <c r="P7" s="10">
        <f>K7*(O7-1)</f>
        <v>465.59501668763494</v>
      </c>
    </row>
    <row r="8" spans="1:16" x14ac:dyDescent="0.2">
      <c r="A8" s="21">
        <v>2011</v>
      </c>
      <c r="B8" s="62">
        <v>6000</v>
      </c>
      <c r="C8" s="64">
        <v>15200</v>
      </c>
      <c r="J8" s="10">
        <f>A8</f>
        <v>2011</v>
      </c>
      <c r="K8" s="76">
        <f t="shared" ref="K8:K9" si="2">B8</f>
        <v>6000</v>
      </c>
      <c r="L8" s="10">
        <v>24</v>
      </c>
      <c r="M8" s="10">
        <f t="shared" si="0"/>
        <v>18</v>
      </c>
      <c r="N8" s="27">
        <f t="shared" si="1"/>
        <v>0.80576891708702725</v>
      </c>
      <c r="O8" s="27">
        <f>N6/N8</f>
        <v>1.1658525907480373</v>
      </c>
      <c r="P8" s="10">
        <f t="shared" ref="P8:P9" si="3">K8*(O8-1)</f>
        <v>995.11554448822358</v>
      </c>
    </row>
    <row r="9" spans="1:16" x14ac:dyDescent="0.2">
      <c r="A9" s="20">
        <v>2012</v>
      </c>
      <c r="B9" s="63">
        <v>4500</v>
      </c>
      <c r="C9" s="65">
        <v>15400</v>
      </c>
      <c r="J9" s="10">
        <f>A9</f>
        <v>2012</v>
      </c>
      <c r="K9" s="76">
        <f t="shared" si="2"/>
        <v>4500</v>
      </c>
      <c r="L9" s="10">
        <v>12</v>
      </c>
      <c r="M9" s="10">
        <f t="shared" si="0"/>
        <v>6</v>
      </c>
      <c r="N9" s="27">
        <f t="shared" si="1"/>
        <v>0.52607972351407717</v>
      </c>
      <c r="O9" s="27">
        <f>N6/N9</f>
        <v>1.7856757018786982</v>
      </c>
      <c r="P9" s="10">
        <f t="shared" si="3"/>
        <v>3535.540658454142</v>
      </c>
    </row>
    <row r="10" spans="1:16" x14ac:dyDescent="0.2">
      <c r="A10" s="28"/>
      <c r="B10" s="16"/>
      <c r="C10" s="16"/>
      <c r="D10" s="16"/>
      <c r="E10" s="16"/>
    </row>
    <row r="11" spans="1:16" x14ac:dyDescent="0.2">
      <c r="A11" s="6" t="s">
        <v>38</v>
      </c>
      <c r="B11" s="1"/>
      <c r="E11" s="8"/>
      <c r="J11" s="2" t="s">
        <v>59</v>
      </c>
      <c r="K11" s="2">
        <f>SUM(P7:P9)</f>
        <v>4996.2512196300004</v>
      </c>
    </row>
    <row r="12" spans="1:16" x14ac:dyDescent="0.2">
      <c r="A12" s="6" t="s">
        <v>39</v>
      </c>
      <c r="E12" s="7"/>
    </row>
    <row r="13" spans="1:16" x14ac:dyDescent="0.2">
      <c r="A13" s="6"/>
      <c r="E13" s="7"/>
      <c r="J13" s="2" t="s">
        <v>4</v>
      </c>
    </row>
    <row r="14" spans="1:16" x14ac:dyDescent="0.2">
      <c r="A14" s="72" t="s">
        <v>40</v>
      </c>
      <c r="B14" s="61" t="s">
        <v>18</v>
      </c>
      <c r="C14" s="34" t="s">
        <v>43</v>
      </c>
      <c r="E14" s="7"/>
    </row>
    <row r="15" spans="1:16" x14ac:dyDescent="0.2">
      <c r="A15" s="74" t="s">
        <v>41</v>
      </c>
      <c r="B15" s="12" t="s">
        <v>42</v>
      </c>
      <c r="C15" s="15" t="s">
        <v>42</v>
      </c>
      <c r="E15" s="7"/>
      <c r="J15" s="31" t="s">
        <v>60</v>
      </c>
    </row>
    <row r="16" spans="1:16" x14ac:dyDescent="0.2">
      <c r="A16" s="73" t="s">
        <v>44</v>
      </c>
      <c r="B16" s="67">
        <v>1.2</v>
      </c>
      <c r="C16" s="68">
        <v>1.08</v>
      </c>
      <c r="E16" s="7"/>
    </row>
    <row r="17" spans="1:17" x14ac:dyDescent="0.2">
      <c r="A17" s="74" t="s">
        <v>45</v>
      </c>
      <c r="B17" s="70">
        <v>5.5</v>
      </c>
      <c r="C17" s="71">
        <v>5.45</v>
      </c>
      <c r="E17" s="7"/>
      <c r="J17" s="10" t="s">
        <v>8</v>
      </c>
      <c r="K17" s="10" t="s">
        <v>37</v>
      </c>
      <c r="L17" s="27" t="s">
        <v>54</v>
      </c>
      <c r="M17" s="10" t="s">
        <v>55</v>
      </c>
      <c r="N17" s="10" t="s">
        <v>56</v>
      </c>
      <c r="O17" s="10" t="s">
        <v>57</v>
      </c>
      <c r="P17" s="10" t="s">
        <v>61</v>
      </c>
      <c r="Q17" s="10"/>
    </row>
    <row r="18" spans="1:17" x14ac:dyDescent="0.2">
      <c r="A18" s="6"/>
      <c r="E18" s="7"/>
      <c r="J18" s="10">
        <f>J7</f>
        <v>2010</v>
      </c>
      <c r="K18" s="22">
        <f>C7</f>
        <v>15000</v>
      </c>
      <c r="L18" s="10">
        <f t="shared" ref="L18:N20" si="4">K7</f>
        <v>7500</v>
      </c>
      <c r="M18" s="10">
        <f t="shared" si="4"/>
        <v>36</v>
      </c>
      <c r="N18" s="10">
        <f t="shared" si="4"/>
        <v>30</v>
      </c>
      <c r="O18" s="27">
        <f t="shared" ref="O18:O20" si="5">N18^($C$16)/($C$17^$C$16+N18^$C$16)</f>
        <v>0.86318841609108332</v>
      </c>
      <c r="P18" s="39">
        <f>O18*K18</f>
        <v>12947.826241366251</v>
      </c>
      <c r="Q18" s="10"/>
    </row>
    <row r="19" spans="1:17" x14ac:dyDescent="0.2">
      <c r="A19" s="75" t="s">
        <v>12</v>
      </c>
      <c r="B19" t="s">
        <v>46</v>
      </c>
      <c r="E19" s="7"/>
      <c r="J19" s="10">
        <f>J8</f>
        <v>2011</v>
      </c>
      <c r="K19" s="22">
        <f>C8</f>
        <v>15200</v>
      </c>
      <c r="L19" s="10">
        <f t="shared" si="4"/>
        <v>6000</v>
      </c>
      <c r="M19" s="10">
        <f t="shared" si="4"/>
        <v>24</v>
      </c>
      <c r="N19" s="10">
        <f t="shared" si="4"/>
        <v>18</v>
      </c>
      <c r="O19" s="27">
        <f t="shared" si="5"/>
        <v>0.78420416373573076</v>
      </c>
      <c r="P19" s="39">
        <f t="shared" ref="P19:P20" si="6">O19*K19</f>
        <v>11919.903288783107</v>
      </c>
      <c r="Q19" s="10"/>
    </row>
    <row r="20" spans="1:17" x14ac:dyDescent="0.2">
      <c r="A20" s="38"/>
      <c r="B20" t="s">
        <v>47</v>
      </c>
      <c r="E20" s="7"/>
      <c r="J20" s="10">
        <f>J9</f>
        <v>2012</v>
      </c>
      <c r="K20" s="22">
        <f>C9</f>
        <v>15400</v>
      </c>
      <c r="L20" s="10">
        <f t="shared" si="4"/>
        <v>4500</v>
      </c>
      <c r="M20" s="10">
        <f t="shared" si="4"/>
        <v>12</v>
      </c>
      <c r="N20" s="10">
        <f t="shared" si="4"/>
        <v>6</v>
      </c>
      <c r="O20" s="27">
        <f t="shared" si="5"/>
        <v>0.52593554391637098</v>
      </c>
      <c r="P20" s="39">
        <f t="shared" si="6"/>
        <v>8099.4073763121132</v>
      </c>
      <c r="Q20" s="10"/>
    </row>
    <row r="21" spans="1:17" x14ac:dyDescent="0.2">
      <c r="A21" s="38"/>
      <c r="E21" s="7"/>
      <c r="P21" s="27"/>
      <c r="Q21" s="10"/>
    </row>
    <row r="22" spans="1:17" x14ac:dyDescent="0.2">
      <c r="A22" s="38" t="s">
        <v>1</v>
      </c>
      <c r="B22" t="s">
        <v>48</v>
      </c>
      <c r="E22" s="7"/>
      <c r="J22" s="10" t="s">
        <v>62</v>
      </c>
      <c r="K22" s="43">
        <f>SUM(L18:L20)/SUM(P18:P20)</f>
        <v>0.54599827856061256</v>
      </c>
    </row>
    <row r="23" spans="1:17" x14ac:dyDescent="0.2">
      <c r="A23" s="38"/>
      <c r="B23" t="s">
        <v>49</v>
      </c>
      <c r="E23" s="7"/>
      <c r="J23" s="2"/>
      <c r="K23" s="26"/>
    </row>
    <row r="24" spans="1:17" x14ac:dyDescent="0.2">
      <c r="A24" s="38"/>
      <c r="E24" s="7"/>
      <c r="J24" s="31" t="s">
        <v>63</v>
      </c>
      <c r="K24" s="26"/>
    </row>
    <row r="25" spans="1:17" x14ac:dyDescent="0.2">
      <c r="A25" s="38" t="s">
        <v>17</v>
      </c>
      <c r="B25" t="s">
        <v>50</v>
      </c>
      <c r="E25" s="7"/>
      <c r="J25" s="2"/>
      <c r="K25" s="26"/>
    </row>
    <row r="26" spans="1:17" x14ac:dyDescent="0.2">
      <c r="A26" s="6"/>
      <c r="B26" t="s">
        <v>51</v>
      </c>
      <c r="E26" s="7"/>
      <c r="J26" s="10" t="s">
        <v>8</v>
      </c>
      <c r="K26" s="10" t="s">
        <v>37</v>
      </c>
      <c r="L26" s="10" t="s">
        <v>54</v>
      </c>
      <c r="M26" s="10" t="s">
        <v>55</v>
      </c>
      <c r="N26" s="10" t="s">
        <v>56</v>
      </c>
      <c r="O26" s="10" t="s">
        <v>57</v>
      </c>
      <c r="P26" s="10" t="s">
        <v>65</v>
      </c>
      <c r="Q26" s="10" t="s">
        <v>59</v>
      </c>
    </row>
    <row r="27" spans="1:17" x14ac:dyDescent="0.2">
      <c r="A27" s="6"/>
      <c r="E27" s="7"/>
      <c r="J27" s="10" t="s">
        <v>64</v>
      </c>
      <c r="M27" s="10">
        <v>60</v>
      </c>
      <c r="N27" s="10">
        <f>M27-6</f>
        <v>54</v>
      </c>
      <c r="O27" s="27">
        <f t="shared" ref="O27:O30" si="7">N27^($C$16)/($C$17^$C$16+N27^$C$16)</f>
        <v>0.92250203564314082</v>
      </c>
    </row>
    <row r="28" spans="1:17" x14ac:dyDescent="0.2">
      <c r="A28" s="3"/>
      <c r="J28" s="10">
        <f t="shared" ref="J28:M30" si="8">J18</f>
        <v>2010</v>
      </c>
      <c r="K28" s="22">
        <f t="shared" si="8"/>
        <v>15000</v>
      </c>
      <c r="L28" s="10">
        <f t="shared" si="8"/>
        <v>7500</v>
      </c>
      <c r="M28" s="10">
        <f t="shared" si="8"/>
        <v>36</v>
      </c>
      <c r="N28" s="10">
        <f t="shared" ref="N28:N30" si="9">M28-6</f>
        <v>30</v>
      </c>
      <c r="O28" s="27">
        <f t="shared" si="7"/>
        <v>0.86318841609108332</v>
      </c>
      <c r="P28" s="27">
        <f>O27-O28</f>
        <v>5.9313619552057495E-2</v>
      </c>
      <c r="Q28" s="24">
        <f>P28*K28*$K$22</f>
        <v>485.77701255933727</v>
      </c>
    </row>
    <row r="29" spans="1:17" x14ac:dyDescent="0.2">
      <c r="J29" s="10">
        <f t="shared" si="8"/>
        <v>2011</v>
      </c>
      <c r="K29" s="22">
        <f t="shared" si="8"/>
        <v>15200</v>
      </c>
      <c r="L29" s="10">
        <f t="shared" si="8"/>
        <v>6000</v>
      </c>
      <c r="M29" s="10">
        <f t="shared" si="8"/>
        <v>24</v>
      </c>
      <c r="N29" s="10">
        <f t="shared" si="9"/>
        <v>18</v>
      </c>
      <c r="O29" s="27">
        <f t="shared" si="7"/>
        <v>0.78420416373573076</v>
      </c>
      <c r="P29" s="27">
        <f>O27-O29</f>
        <v>0.13829787190741005</v>
      </c>
      <c r="Q29" s="24">
        <f t="shared" ref="Q29:Q30" si="10">P29*K29*$K$22</f>
        <v>1147.7580798486381</v>
      </c>
    </row>
    <row r="30" spans="1:17" x14ac:dyDescent="0.2">
      <c r="J30" s="10">
        <f t="shared" si="8"/>
        <v>2012</v>
      </c>
      <c r="K30" s="22">
        <f t="shared" si="8"/>
        <v>15400</v>
      </c>
      <c r="L30" s="10">
        <f t="shared" si="8"/>
        <v>4500</v>
      </c>
      <c r="M30" s="10">
        <f t="shared" si="8"/>
        <v>12</v>
      </c>
      <c r="N30" s="10">
        <f t="shared" si="9"/>
        <v>6</v>
      </c>
      <c r="O30" s="27">
        <f t="shared" si="7"/>
        <v>0.52593554391637098</v>
      </c>
      <c r="P30" s="27">
        <f>O27-O30</f>
        <v>0.39656649172676983</v>
      </c>
      <c r="Q30" s="24">
        <f t="shared" si="10"/>
        <v>3334.4791759916207</v>
      </c>
    </row>
    <row r="32" spans="1:17" x14ac:dyDescent="0.2">
      <c r="J32" s="2" t="s">
        <v>59</v>
      </c>
      <c r="K32" s="25">
        <f>SUM(Q28:Q30)</f>
        <v>4968.0142683995964</v>
      </c>
    </row>
    <row r="34" spans="10:11" x14ac:dyDescent="0.2">
      <c r="J34" s="2" t="s">
        <v>19</v>
      </c>
    </row>
    <row r="36" spans="10:11" x14ac:dyDescent="0.2">
      <c r="J36" s="10" t="s">
        <v>66</v>
      </c>
      <c r="K36" s="23">
        <f>K22*K30*O30</f>
        <v>4422.2624848275409</v>
      </c>
    </row>
    <row r="38" spans="10:11" x14ac:dyDescent="0.2">
      <c r="J38" s="77" t="s">
        <v>67</v>
      </c>
    </row>
    <row r="39" spans="10:11" x14ac:dyDescent="0.2">
      <c r="J39" s="10" t="s">
        <v>212</v>
      </c>
    </row>
    <row r="40" spans="10:11" x14ac:dyDescent="0.2">
      <c r="J40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3088-562E-1749-9DE9-FFB8ADCA5F6D}">
  <dimension ref="A1:X48"/>
  <sheetViews>
    <sheetView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style="10" hidden="1" customWidth="1" outlineLevel="1"/>
    <col min="11" max="11" width="10.83203125" style="10" hidden="1" customWidth="1" outlineLevel="1"/>
    <col min="12" max="12" width="14.1640625" style="10" hidden="1" customWidth="1" outlineLevel="1"/>
    <col min="13" max="14" width="10.83203125" style="10" hidden="1" customWidth="1" outlineLevel="1"/>
    <col min="15" max="15" width="12" style="10" hidden="1" customWidth="1" outlineLevel="1"/>
    <col min="16" max="16" width="14.1640625" style="10" hidden="1" customWidth="1" outlineLevel="1"/>
    <col min="17" max="17" width="10.83203125" style="10" hidden="1" customWidth="1" outlineLevel="1"/>
    <col min="18" max="18" width="10.83203125" style="10" collapsed="1"/>
    <col min="19" max="24" width="10.83203125" style="10"/>
  </cols>
  <sheetData>
    <row r="1" spans="1:17" x14ac:dyDescent="0.2">
      <c r="A1" s="2" t="s">
        <v>0</v>
      </c>
      <c r="B1" s="1" t="s">
        <v>5</v>
      </c>
      <c r="C1" s="1" t="s">
        <v>30</v>
      </c>
      <c r="D1" s="1" t="s">
        <v>13</v>
      </c>
      <c r="I1" s="2" t="s">
        <v>2</v>
      </c>
      <c r="J1" s="2" t="s">
        <v>3</v>
      </c>
    </row>
    <row r="2" spans="1:17" x14ac:dyDescent="0.2">
      <c r="K2" s="22"/>
    </row>
    <row r="3" spans="1:17" x14ac:dyDescent="0.2">
      <c r="A3" s="5" t="s">
        <v>31</v>
      </c>
      <c r="B3" s="1"/>
      <c r="J3" s="31" t="s">
        <v>60</v>
      </c>
      <c r="Q3"/>
    </row>
    <row r="4" spans="1:17" x14ac:dyDescent="0.2">
      <c r="A4" s="5"/>
      <c r="B4" s="1"/>
      <c r="Q4"/>
    </row>
    <row r="5" spans="1:17" x14ac:dyDescent="0.2">
      <c r="A5" s="19" t="s">
        <v>32</v>
      </c>
      <c r="B5" s="61" t="s">
        <v>34</v>
      </c>
      <c r="C5" s="34" t="s">
        <v>36</v>
      </c>
      <c r="J5" s="10" t="s">
        <v>8</v>
      </c>
      <c r="K5" s="10" t="s">
        <v>37</v>
      </c>
      <c r="L5" s="27" t="s">
        <v>54</v>
      </c>
      <c r="M5" s="10" t="s">
        <v>55</v>
      </c>
      <c r="N5" s="10" t="s">
        <v>56</v>
      </c>
      <c r="O5" s="10" t="s">
        <v>57</v>
      </c>
      <c r="P5" s="10" t="s">
        <v>61</v>
      </c>
    </row>
    <row r="6" spans="1:17" x14ac:dyDescent="0.2">
      <c r="A6" s="20" t="s">
        <v>33</v>
      </c>
      <c r="B6" s="12" t="s">
        <v>35</v>
      </c>
      <c r="C6" s="15" t="s">
        <v>37</v>
      </c>
      <c r="J6" s="10">
        <v>2010</v>
      </c>
      <c r="K6" s="22">
        <f>C7</f>
        <v>15000</v>
      </c>
      <c r="L6" s="22">
        <f>B7</f>
        <v>7500</v>
      </c>
      <c r="M6" s="10">
        <v>36</v>
      </c>
      <c r="N6" s="10">
        <f>M6-6</f>
        <v>30</v>
      </c>
      <c r="O6" s="27">
        <f>1-EXP(-(N6/$B$17)^$B$16)</f>
        <v>0.97648225414399092</v>
      </c>
      <c r="P6" s="39">
        <f>O6*K6</f>
        <v>14647.233812159864</v>
      </c>
    </row>
    <row r="7" spans="1:17" x14ac:dyDescent="0.2">
      <c r="A7" s="21">
        <v>2010</v>
      </c>
      <c r="B7" s="62">
        <v>7500</v>
      </c>
      <c r="C7" s="64">
        <v>15000</v>
      </c>
      <c r="J7" s="10">
        <v>2011</v>
      </c>
      <c r="K7" s="22">
        <f t="shared" ref="K7:K8" si="0">C8</f>
        <v>15200</v>
      </c>
      <c r="L7" s="22">
        <f t="shared" ref="L7:L8" si="1">B8</f>
        <v>6000</v>
      </c>
      <c r="M7" s="10">
        <v>24</v>
      </c>
      <c r="N7" s="10">
        <f t="shared" ref="N7:N8" si="2">M7-6</f>
        <v>18</v>
      </c>
      <c r="O7" s="27">
        <f t="shared" ref="O7:O8" si="3">1-EXP(-(N7/$B$17)^$B$16)</f>
        <v>0.89460077543813565</v>
      </c>
      <c r="P7" s="39">
        <f t="shared" ref="P7:P8" si="4">O7*K7</f>
        <v>13597.931786659661</v>
      </c>
    </row>
    <row r="8" spans="1:17" x14ac:dyDescent="0.2">
      <c r="A8" s="21">
        <v>2011</v>
      </c>
      <c r="B8" s="62">
        <v>6000</v>
      </c>
      <c r="C8" s="64">
        <v>15200</v>
      </c>
      <c r="J8" s="10">
        <v>2012</v>
      </c>
      <c r="K8" s="22">
        <f t="shared" si="0"/>
        <v>15400</v>
      </c>
      <c r="L8" s="22">
        <f t="shared" si="1"/>
        <v>4500</v>
      </c>
      <c r="M8" s="10">
        <v>12</v>
      </c>
      <c r="N8" s="10">
        <f t="shared" si="2"/>
        <v>6</v>
      </c>
      <c r="O8" s="27">
        <f t="shared" si="3"/>
        <v>0.52763344725898531</v>
      </c>
      <c r="P8" s="39">
        <f t="shared" si="4"/>
        <v>8125.5550877883734</v>
      </c>
    </row>
    <row r="9" spans="1:17" x14ac:dyDescent="0.2">
      <c r="A9" s="20">
        <v>2012</v>
      </c>
      <c r="B9" s="63">
        <v>4500</v>
      </c>
      <c r="C9" s="65">
        <v>15400</v>
      </c>
      <c r="P9" s="27"/>
    </row>
    <row r="10" spans="1:17" x14ac:dyDescent="0.2">
      <c r="A10" s="28"/>
      <c r="B10" s="16"/>
      <c r="C10" s="16"/>
      <c r="D10" s="16"/>
      <c r="E10" s="16"/>
      <c r="J10" s="10" t="s">
        <v>62</v>
      </c>
      <c r="K10" s="43">
        <f>SUM(L6:L8)/SUM(P6:P8)</f>
        <v>0.49490358343731689</v>
      </c>
      <c r="Q10"/>
    </row>
    <row r="11" spans="1:17" x14ac:dyDescent="0.2">
      <c r="A11" s="6" t="s">
        <v>213</v>
      </c>
      <c r="B11" s="1"/>
      <c r="E11" s="8"/>
      <c r="J11" s="2"/>
      <c r="K11" s="26"/>
      <c r="Q11"/>
    </row>
    <row r="12" spans="1:17" x14ac:dyDescent="0.2">
      <c r="A12" s="6" t="s">
        <v>39</v>
      </c>
      <c r="E12" s="7"/>
      <c r="J12" s="31" t="s">
        <v>63</v>
      </c>
      <c r="K12" s="26"/>
      <c r="Q12"/>
    </row>
    <row r="13" spans="1:17" x14ac:dyDescent="0.2">
      <c r="A13" s="6"/>
      <c r="E13" s="7"/>
      <c r="J13" s="2"/>
      <c r="K13" s="26"/>
      <c r="Q13"/>
    </row>
    <row r="14" spans="1:17" x14ac:dyDescent="0.2">
      <c r="A14" s="72" t="s">
        <v>40</v>
      </c>
      <c r="B14" s="19" t="s">
        <v>43</v>
      </c>
      <c r="C14" s="28"/>
      <c r="E14" s="7"/>
      <c r="J14" s="10" t="s">
        <v>8</v>
      </c>
      <c r="K14" s="10" t="s">
        <v>37</v>
      </c>
      <c r="L14" s="10" t="s">
        <v>54</v>
      </c>
      <c r="M14" s="10" t="s">
        <v>55</v>
      </c>
      <c r="N14" s="10" t="s">
        <v>56</v>
      </c>
      <c r="O14" s="10" t="s">
        <v>57</v>
      </c>
      <c r="P14" s="10" t="s">
        <v>59</v>
      </c>
    </row>
    <row r="15" spans="1:17" x14ac:dyDescent="0.2">
      <c r="A15" s="74" t="s">
        <v>41</v>
      </c>
      <c r="B15" s="20" t="s">
        <v>42</v>
      </c>
      <c r="C15" s="28"/>
      <c r="E15" s="7"/>
      <c r="J15" s="10">
        <f t="shared" ref="J15:M17" si="5">J6</f>
        <v>2010</v>
      </c>
      <c r="K15" s="22">
        <f t="shared" si="5"/>
        <v>15000</v>
      </c>
      <c r="L15" s="10">
        <f t="shared" si="5"/>
        <v>7500</v>
      </c>
      <c r="M15" s="10">
        <f t="shared" si="5"/>
        <v>36</v>
      </c>
      <c r="N15" s="10">
        <f t="shared" ref="N15:N17" si="6">M15-6</f>
        <v>30</v>
      </c>
      <c r="O15" s="27">
        <f>1-EXP(-(N15/$B$17)^$B$16)</f>
        <v>0.97648225414399092</v>
      </c>
      <c r="P15" s="24">
        <f>(1-O15)*K15*$K$10</f>
        <v>174.585250477605</v>
      </c>
    </row>
    <row r="16" spans="1:17" x14ac:dyDescent="0.2">
      <c r="A16" s="73" t="s">
        <v>44</v>
      </c>
      <c r="B16" s="78">
        <v>1</v>
      </c>
      <c r="C16" s="67"/>
      <c r="E16" s="7"/>
      <c r="J16" s="10">
        <f t="shared" si="5"/>
        <v>2011</v>
      </c>
      <c r="K16" s="22">
        <f t="shared" si="5"/>
        <v>15200</v>
      </c>
      <c r="L16" s="10">
        <f t="shared" si="5"/>
        <v>6000</v>
      </c>
      <c r="M16" s="10">
        <f t="shared" si="5"/>
        <v>24</v>
      </c>
      <c r="N16" s="10">
        <f t="shared" si="6"/>
        <v>18</v>
      </c>
      <c r="O16" s="27">
        <f t="shared" ref="O16:O17" si="7">1-EXP(-(N16/$B$17)^$B$16)</f>
        <v>0.89460077543813565</v>
      </c>
      <c r="P16" s="24">
        <f t="shared" ref="P16:P17" si="8">(1-O16)*K16*$K$10</f>
        <v>792.86929969315327</v>
      </c>
    </row>
    <row r="17" spans="1:17" x14ac:dyDescent="0.2">
      <c r="A17" s="74" t="s">
        <v>45</v>
      </c>
      <c r="B17" s="79">
        <v>8</v>
      </c>
      <c r="C17" s="67"/>
      <c r="E17" s="7"/>
      <c r="J17" s="10">
        <f t="shared" si="5"/>
        <v>2012</v>
      </c>
      <c r="K17" s="22">
        <f t="shared" si="5"/>
        <v>15400</v>
      </c>
      <c r="L17" s="10">
        <f t="shared" si="5"/>
        <v>4500</v>
      </c>
      <c r="M17" s="10">
        <f t="shared" si="5"/>
        <v>12</v>
      </c>
      <c r="N17" s="10">
        <f t="shared" si="6"/>
        <v>6</v>
      </c>
      <c r="O17" s="27">
        <f t="shared" si="7"/>
        <v>0.52763344725898531</v>
      </c>
      <c r="P17" s="24">
        <f t="shared" si="8"/>
        <v>3600.1488545708921</v>
      </c>
    </row>
    <row r="18" spans="1:17" x14ac:dyDescent="0.2">
      <c r="A18" s="6"/>
      <c r="E18" s="7"/>
    </row>
    <row r="19" spans="1:17" x14ac:dyDescent="0.2">
      <c r="A19" s="80" t="s">
        <v>68</v>
      </c>
      <c r="C19" s="1">
        <v>150</v>
      </c>
      <c r="E19" s="7"/>
      <c r="J19" s="2" t="s">
        <v>59</v>
      </c>
      <c r="K19" s="25">
        <f>SUM(P15:P17)</f>
        <v>4567.6034047416506</v>
      </c>
      <c r="Q19"/>
    </row>
    <row r="20" spans="1:17" x14ac:dyDescent="0.2">
      <c r="A20" s="80" t="s">
        <v>69</v>
      </c>
      <c r="C20" s="9">
        <v>15500</v>
      </c>
      <c r="E20" s="7"/>
      <c r="Q20"/>
    </row>
    <row r="21" spans="1:17" x14ac:dyDescent="0.2">
      <c r="A21" s="81" t="s">
        <v>70</v>
      </c>
      <c r="E21" s="7"/>
      <c r="J21" s="2" t="s">
        <v>4</v>
      </c>
      <c r="K21" s="22"/>
      <c r="O21" s="27"/>
      <c r="P21" s="39"/>
    </row>
    <row r="22" spans="1:17" x14ac:dyDescent="0.2">
      <c r="A22" s="6"/>
      <c r="E22" s="7"/>
      <c r="K22" s="22"/>
      <c r="O22" s="27"/>
      <c r="P22" s="39"/>
    </row>
    <row r="23" spans="1:17" x14ac:dyDescent="0.2">
      <c r="A23" s="82"/>
      <c r="B23" s="83" t="s">
        <v>62</v>
      </c>
      <c r="C23" s="83" t="s">
        <v>44</v>
      </c>
      <c r="D23" s="84" t="s">
        <v>45</v>
      </c>
      <c r="E23" s="7"/>
      <c r="J23" s="10" t="s">
        <v>75</v>
      </c>
      <c r="K23" s="22"/>
      <c r="L23" s="39">
        <f>C20*K10</f>
        <v>7671.005543278412</v>
      </c>
      <c r="O23" s="27"/>
      <c r="P23" s="39"/>
    </row>
    <row r="24" spans="1:17" x14ac:dyDescent="0.2">
      <c r="A24" s="73" t="s">
        <v>62</v>
      </c>
      <c r="B24" s="85">
        <v>4.0000000000000001E-3</v>
      </c>
      <c r="C24" s="85">
        <v>-1E-3</v>
      </c>
      <c r="D24" s="86">
        <v>0.25</v>
      </c>
      <c r="E24" s="7"/>
      <c r="J24" s="10" t="s">
        <v>76</v>
      </c>
      <c r="K24" s="22"/>
      <c r="L24" s="22">
        <f>L23*C19</f>
        <v>1150650.8314917618</v>
      </c>
      <c r="O24" s="27"/>
      <c r="P24" s="39"/>
    </row>
    <row r="25" spans="1:17" x14ac:dyDescent="0.2">
      <c r="A25" s="73" t="s">
        <v>44</v>
      </c>
      <c r="B25" s="85">
        <v>-1E-3</v>
      </c>
      <c r="C25" s="85">
        <v>0.45</v>
      </c>
      <c r="D25" s="86">
        <v>-0.3</v>
      </c>
      <c r="E25" s="7"/>
      <c r="J25" s="2" t="s">
        <v>77</v>
      </c>
      <c r="K25" s="11"/>
      <c r="L25" s="25">
        <f>SQRT(L24)</f>
        <v>1072.6839383023137</v>
      </c>
      <c r="O25" s="27"/>
      <c r="P25" s="39"/>
    </row>
    <row r="26" spans="1:17" x14ac:dyDescent="0.2">
      <c r="A26" s="74" t="s">
        <v>45</v>
      </c>
      <c r="B26" s="87">
        <v>0.25</v>
      </c>
      <c r="C26" s="87">
        <v>-0.3</v>
      </c>
      <c r="D26" s="88">
        <v>18</v>
      </c>
      <c r="E26" s="7"/>
      <c r="K26" s="22"/>
      <c r="O26" s="27"/>
      <c r="P26" s="39"/>
    </row>
    <row r="27" spans="1:17" x14ac:dyDescent="0.2">
      <c r="A27" s="6"/>
      <c r="E27" s="7"/>
      <c r="J27" s="2" t="s">
        <v>19</v>
      </c>
      <c r="K27" s="22"/>
      <c r="O27" s="27"/>
      <c r="P27" s="39"/>
    </row>
    <row r="28" spans="1:17" x14ac:dyDescent="0.2">
      <c r="A28" s="75" t="s">
        <v>12</v>
      </c>
      <c r="B28" t="s">
        <v>71</v>
      </c>
      <c r="E28" s="7"/>
      <c r="K28" s="22"/>
      <c r="O28" s="27"/>
      <c r="P28" s="39"/>
    </row>
    <row r="29" spans="1:17" x14ac:dyDescent="0.2">
      <c r="A29" s="38"/>
      <c r="E29" s="7"/>
      <c r="J29" s="10" t="s">
        <v>78</v>
      </c>
      <c r="K29" s="22"/>
      <c r="L29" s="22">
        <f>C20^2*B24</f>
        <v>961000</v>
      </c>
      <c r="M29" s="10" t="s">
        <v>79</v>
      </c>
      <c r="O29" s="27"/>
      <c r="P29" s="39"/>
    </row>
    <row r="30" spans="1:17" x14ac:dyDescent="0.2">
      <c r="A30" s="38" t="s">
        <v>1</v>
      </c>
      <c r="B30" t="s">
        <v>72</v>
      </c>
      <c r="E30" s="7"/>
      <c r="J30" s="10" t="s">
        <v>80</v>
      </c>
      <c r="K30" s="43"/>
      <c r="L30" s="10">
        <f>SQRT(L29+L24)</f>
        <v>1453.1520331650649</v>
      </c>
    </row>
    <row r="31" spans="1:17" x14ac:dyDescent="0.2">
      <c r="A31" s="38"/>
      <c r="B31" t="s">
        <v>73</v>
      </c>
      <c r="E31" s="7"/>
      <c r="J31" s="2" t="s">
        <v>81</v>
      </c>
      <c r="K31" s="26"/>
      <c r="L31" s="45">
        <f>L30/L23</f>
        <v>0.1894343609800106</v>
      </c>
    </row>
    <row r="32" spans="1:17" x14ac:dyDescent="0.2">
      <c r="A32" s="38"/>
      <c r="E32" s="7"/>
      <c r="J32" s="31"/>
      <c r="K32" s="23"/>
    </row>
    <row r="33" spans="1:17" x14ac:dyDescent="0.2">
      <c r="A33" s="38" t="s">
        <v>17</v>
      </c>
      <c r="B33" t="s">
        <v>74</v>
      </c>
      <c r="E33" s="7"/>
      <c r="K33" s="23"/>
    </row>
    <row r="34" spans="1:17" x14ac:dyDescent="0.2">
      <c r="A34" s="6"/>
      <c r="B34" t="s">
        <v>7</v>
      </c>
      <c r="E34" s="7"/>
    </row>
    <row r="35" spans="1:17" x14ac:dyDescent="0.2">
      <c r="A35" s="6"/>
      <c r="E35" s="7"/>
      <c r="O35" s="27"/>
    </row>
    <row r="36" spans="1:17" x14ac:dyDescent="0.2">
      <c r="A36" s="3"/>
      <c r="K36" s="22"/>
      <c r="O36" s="27"/>
      <c r="P36" s="27"/>
      <c r="Q36" s="39"/>
    </row>
    <row r="37" spans="1:17" x14ac:dyDescent="0.2">
      <c r="K37" s="22"/>
      <c r="O37" s="27"/>
      <c r="P37" s="27"/>
      <c r="Q37" s="39"/>
    </row>
    <row r="38" spans="1:17" x14ac:dyDescent="0.2">
      <c r="K38" s="22"/>
      <c r="O38" s="27"/>
      <c r="P38" s="27"/>
      <c r="Q38" s="39"/>
    </row>
    <row r="40" spans="1:17" x14ac:dyDescent="0.2">
      <c r="K40" s="39"/>
    </row>
    <row r="44" spans="1:17" x14ac:dyDescent="0.2">
      <c r="K44" s="23"/>
    </row>
    <row r="46" spans="1:17" x14ac:dyDescent="0.2">
      <c r="J46" s="77"/>
    </row>
    <row r="48" spans="1:17" x14ac:dyDescent="0.2">
      <c r="J48" s="7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E9FA-7AB0-9942-9754-A7F11D500D7C}">
  <dimension ref="A1:S60"/>
  <sheetViews>
    <sheetView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style="10" hidden="1" customWidth="1" outlineLevel="1"/>
    <col min="11" max="12" width="10.83203125" style="10" hidden="1" customWidth="1" outlineLevel="1"/>
    <col min="13" max="13" width="18.1640625" style="10" hidden="1" customWidth="1" outlineLevel="1"/>
    <col min="14" max="14" width="10.83203125" style="10" hidden="1" customWidth="1" outlineLevel="1"/>
    <col min="15" max="15" width="12" style="10" hidden="1" customWidth="1" outlineLevel="1"/>
    <col min="16" max="16" width="14.1640625" style="10" hidden="1" customWidth="1" outlineLevel="1"/>
    <col min="17" max="17" width="10.83203125" style="10" hidden="1" customWidth="1" outlineLevel="1"/>
    <col min="18" max="18" width="10.83203125" style="10" collapsed="1"/>
  </cols>
  <sheetData>
    <row r="1" spans="1:19" x14ac:dyDescent="0.2">
      <c r="A1" s="2" t="s">
        <v>0</v>
      </c>
      <c r="B1" s="1" t="s">
        <v>5</v>
      </c>
      <c r="C1" s="1" t="s">
        <v>30</v>
      </c>
      <c r="D1" s="1" t="s">
        <v>14</v>
      </c>
      <c r="I1" s="2" t="s">
        <v>2</v>
      </c>
      <c r="J1" s="2" t="s">
        <v>3</v>
      </c>
    </row>
    <row r="2" spans="1:19" x14ac:dyDescent="0.2">
      <c r="K2" s="22"/>
    </row>
    <row r="3" spans="1:19" x14ac:dyDescent="0.2">
      <c r="A3" s="5" t="s">
        <v>31</v>
      </c>
      <c r="B3" s="1"/>
      <c r="J3" s="31" t="s">
        <v>60</v>
      </c>
      <c r="Q3"/>
      <c r="S3" s="10"/>
    </row>
    <row r="4" spans="1:19" x14ac:dyDescent="0.2">
      <c r="A4" s="5"/>
      <c r="B4" s="1"/>
      <c r="Q4"/>
      <c r="S4" s="10"/>
    </row>
    <row r="5" spans="1:19" x14ac:dyDescent="0.2">
      <c r="A5" s="19" t="s">
        <v>32</v>
      </c>
      <c r="B5" s="61" t="s">
        <v>82</v>
      </c>
      <c r="C5" s="34" t="s">
        <v>36</v>
      </c>
      <c r="J5" s="10" t="s">
        <v>8</v>
      </c>
      <c r="K5" s="10" t="s">
        <v>37</v>
      </c>
      <c r="L5" s="27" t="s">
        <v>54</v>
      </c>
      <c r="M5" s="10" t="s">
        <v>55</v>
      </c>
      <c r="N5" s="10" t="s">
        <v>56</v>
      </c>
      <c r="O5" s="10" t="s">
        <v>57</v>
      </c>
      <c r="P5" s="10" t="s">
        <v>61</v>
      </c>
      <c r="S5" s="10"/>
    </row>
    <row r="6" spans="1:19" x14ac:dyDescent="0.2">
      <c r="A6" s="20" t="s">
        <v>33</v>
      </c>
      <c r="B6" s="12" t="s">
        <v>35</v>
      </c>
      <c r="C6" s="15" t="s">
        <v>37</v>
      </c>
      <c r="J6" s="10">
        <v>2010</v>
      </c>
      <c r="K6" s="22">
        <f>C7</f>
        <v>15000</v>
      </c>
      <c r="L6" s="22">
        <f>B7</f>
        <v>7500</v>
      </c>
      <c r="M6" s="10">
        <v>36</v>
      </c>
      <c r="N6" s="10">
        <f>M6-6</f>
        <v>30</v>
      </c>
      <c r="O6" s="27">
        <f>N6^($B$16)/($B$17^$B$16+N6^$B$16)</f>
        <v>0.86318841609108332</v>
      </c>
      <c r="P6" s="39">
        <f>O6*K6</f>
        <v>12947.826241366251</v>
      </c>
      <c r="S6" s="10"/>
    </row>
    <row r="7" spans="1:19" x14ac:dyDescent="0.2">
      <c r="A7" s="21">
        <v>2010</v>
      </c>
      <c r="B7" s="62">
        <v>7500</v>
      </c>
      <c r="C7" s="64">
        <v>15000</v>
      </c>
      <c r="J7" s="10">
        <v>2011</v>
      </c>
      <c r="K7" s="22">
        <f t="shared" ref="K7:K8" si="0">C8</f>
        <v>15200</v>
      </c>
      <c r="L7" s="22">
        <f t="shared" ref="L7:L8" si="1">B8</f>
        <v>6000</v>
      </c>
      <c r="M7" s="10">
        <v>24</v>
      </c>
      <c r="N7" s="10">
        <f t="shared" ref="N7:N8" si="2">M7-6</f>
        <v>18</v>
      </c>
      <c r="O7" s="27">
        <f t="shared" ref="O7:O8" si="3">N7^($B$16)/($B$17^$B$16+N7^$B$16)</f>
        <v>0.78420416373573076</v>
      </c>
      <c r="P7" s="39">
        <f t="shared" ref="P7:P8" si="4">O7*K7</f>
        <v>11919.903288783107</v>
      </c>
      <c r="S7" s="10"/>
    </row>
    <row r="8" spans="1:19" x14ac:dyDescent="0.2">
      <c r="A8" s="21">
        <v>2011</v>
      </c>
      <c r="B8" s="62">
        <v>6000</v>
      </c>
      <c r="C8" s="64">
        <v>15200</v>
      </c>
      <c r="J8" s="10">
        <v>2012</v>
      </c>
      <c r="K8" s="22">
        <f t="shared" si="0"/>
        <v>15400</v>
      </c>
      <c r="L8" s="22">
        <f t="shared" si="1"/>
        <v>4500</v>
      </c>
      <c r="M8" s="10">
        <v>12</v>
      </c>
      <c r="N8" s="10">
        <f t="shared" si="2"/>
        <v>6</v>
      </c>
      <c r="O8" s="27">
        <f t="shared" si="3"/>
        <v>0.52593554391637098</v>
      </c>
      <c r="P8" s="39">
        <f t="shared" si="4"/>
        <v>8099.4073763121132</v>
      </c>
      <c r="S8" s="10"/>
    </row>
    <row r="9" spans="1:19" x14ac:dyDescent="0.2">
      <c r="A9" s="20">
        <v>2012</v>
      </c>
      <c r="B9" s="63">
        <v>4500</v>
      </c>
      <c r="C9" s="65">
        <v>15400</v>
      </c>
      <c r="P9" s="27"/>
      <c r="S9" s="10"/>
    </row>
    <row r="10" spans="1:19" x14ac:dyDescent="0.2">
      <c r="A10" s="28"/>
      <c r="B10" s="16"/>
      <c r="C10" s="16"/>
      <c r="D10" s="16"/>
      <c r="E10" s="16"/>
      <c r="J10" s="10" t="s">
        <v>62</v>
      </c>
      <c r="K10" s="43">
        <f>SUM(L6:L8)/SUM(P6:P8)</f>
        <v>0.54599827856061256</v>
      </c>
      <c r="Q10"/>
      <c r="S10" s="10"/>
    </row>
    <row r="11" spans="1:19" x14ac:dyDescent="0.2">
      <c r="A11" s="6" t="s">
        <v>38</v>
      </c>
      <c r="B11" s="1"/>
      <c r="E11" s="8"/>
      <c r="J11" s="2"/>
      <c r="K11" s="26"/>
      <c r="Q11"/>
      <c r="S11" s="10"/>
    </row>
    <row r="12" spans="1:19" x14ac:dyDescent="0.2">
      <c r="A12" s="6" t="s">
        <v>39</v>
      </c>
      <c r="E12" s="7"/>
      <c r="J12" s="31" t="s">
        <v>87</v>
      </c>
      <c r="K12" s="26"/>
      <c r="Q12"/>
      <c r="S12" s="10"/>
    </row>
    <row r="13" spans="1:19" x14ac:dyDescent="0.2">
      <c r="A13" s="6"/>
      <c r="E13" s="7"/>
      <c r="J13" s="2"/>
      <c r="K13" s="26"/>
      <c r="Q13"/>
      <c r="S13" s="10"/>
    </row>
    <row r="14" spans="1:19" x14ac:dyDescent="0.2">
      <c r="A14" s="72" t="s">
        <v>40</v>
      </c>
      <c r="B14" s="34" t="s">
        <v>43</v>
      </c>
      <c r="E14" s="7"/>
      <c r="J14" s="10">
        <v>2010</v>
      </c>
      <c r="K14" s="39">
        <f>K10*K6</f>
        <v>8189.9741784091884</v>
      </c>
      <c r="S14" s="10"/>
    </row>
    <row r="15" spans="1:19" x14ac:dyDescent="0.2">
      <c r="A15" s="74" t="s">
        <v>41</v>
      </c>
      <c r="B15" s="15" t="s">
        <v>42</v>
      </c>
      <c r="E15" s="7"/>
      <c r="J15" s="10">
        <v>2011</v>
      </c>
      <c r="K15" s="39">
        <f>K7*K10</f>
        <v>8299.1738341213113</v>
      </c>
      <c r="S15" s="10"/>
    </row>
    <row r="16" spans="1:19" x14ac:dyDescent="0.2">
      <c r="A16" s="73" t="s">
        <v>44</v>
      </c>
      <c r="B16" s="68">
        <v>1.08</v>
      </c>
      <c r="E16" s="7"/>
      <c r="J16" s="10">
        <v>2012</v>
      </c>
      <c r="K16" s="39">
        <f>K8*K10</f>
        <v>8408.3734898334333</v>
      </c>
      <c r="S16" s="10"/>
    </row>
    <row r="17" spans="1:19" x14ac:dyDescent="0.2">
      <c r="A17" s="74" t="s">
        <v>45</v>
      </c>
      <c r="B17" s="71">
        <v>5.45</v>
      </c>
      <c r="E17" s="7"/>
      <c r="S17" s="10"/>
    </row>
    <row r="18" spans="1:19" x14ac:dyDescent="0.2">
      <c r="A18" s="6"/>
      <c r="E18" s="7"/>
      <c r="J18" s="31" t="s">
        <v>88</v>
      </c>
      <c r="O18" s="27"/>
      <c r="Q18"/>
      <c r="S18" s="10"/>
    </row>
    <row r="19" spans="1:19" x14ac:dyDescent="0.2">
      <c r="A19" s="80" t="s">
        <v>83</v>
      </c>
      <c r="C19" s="4">
        <v>0.06</v>
      </c>
      <c r="E19" s="7"/>
      <c r="K19" s="22"/>
      <c r="O19" s="27"/>
      <c r="P19" s="27"/>
      <c r="Q19" s="24"/>
      <c r="S19" s="10"/>
    </row>
    <row r="20" spans="1:19" x14ac:dyDescent="0.2">
      <c r="A20" s="80" t="s">
        <v>84</v>
      </c>
      <c r="C20" s="1">
        <v>200</v>
      </c>
      <c r="E20" s="7"/>
      <c r="J20" s="10" t="s">
        <v>55</v>
      </c>
      <c r="K20" s="22" t="s">
        <v>56</v>
      </c>
      <c r="L20" s="10" t="s">
        <v>57</v>
      </c>
      <c r="M20" s="10" t="s">
        <v>89</v>
      </c>
      <c r="O20" s="27"/>
      <c r="P20" s="27"/>
      <c r="Q20" s="24"/>
      <c r="S20" s="10"/>
    </row>
    <row r="21" spans="1:19" x14ac:dyDescent="0.2">
      <c r="A21" s="6"/>
      <c r="E21" s="7"/>
      <c r="J21" s="10">
        <v>60</v>
      </c>
      <c r="K21" s="10">
        <f>J21-6</f>
        <v>54</v>
      </c>
      <c r="L21" s="27">
        <f>K21^($B$16)/($B$17^$B$16+K21^$B$16)</f>
        <v>0.92250203564314082</v>
      </c>
      <c r="M21" s="39">
        <f>K14*(L21-L22)/(1+C19)^1.5</f>
        <v>163.35127622272242</v>
      </c>
      <c r="O21" s="27"/>
      <c r="P21" s="27"/>
      <c r="Q21" s="24"/>
      <c r="S21" s="10"/>
    </row>
    <row r="22" spans="1:19" x14ac:dyDescent="0.2">
      <c r="A22" s="75" t="s">
        <v>12</v>
      </c>
      <c r="B22" t="s">
        <v>85</v>
      </c>
      <c r="E22" s="7"/>
      <c r="J22" s="10">
        <v>48</v>
      </c>
      <c r="K22" s="10">
        <f t="shared" ref="K22:K23" si="5">J22-6</f>
        <v>42</v>
      </c>
      <c r="L22" s="27">
        <f t="shared" ref="L22:L23" si="6">K22^($B$16)/($B$17^$B$16+K22^$B$16)</f>
        <v>0.90073502461727128</v>
      </c>
      <c r="M22" s="39">
        <f>K14*(L22-L23)/(1+C19)^0.5</f>
        <v>298.67599176094564</v>
      </c>
      <c r="Q22"/>
      <c r="S22" s="10"/>
    </row>
    <row r="23" spans="1:19" x14ac:dyDescent="0.2">
      <c r="A23" s="38"/>
      <c r="B23" t="s">
        <v>86</v>
      </c>
      <c r="E23" s="7"/>
      <c r="J23" s="10">
        <v>36</v>
      </c>
      <c r="K23" s="10">
        <f t="shared" si="5"/>
        <v>30</v>
      </c>
      <c r="L23" s="27">
        <f t="shared" si="6"/>
        <v>0.86318841609108332</v>
      </c>
      <c r="Q23"/>
      <c r="S23" s="10"/>
    </row>
    <row r="24" spans="1:19" x14ac:dyDescent="0.2">
      <c r="A24" s="38"/>
      <c r="E24" s="7"/>
      <c r="K24" s="22"/>
      <c r="O24" s="27"/>
      <c r="P24" s="39"/>
      <c r="S24" s="10"/>
    </row>
    <row r="25" spans="1:19" x14ac:dyDescent="0.2">
      <c r="A25" s="38" t="s">
        <v>1</v>
      </c>
      <c r="B25" t="s">
        <v>93</v>
      </c>
      <c r="E25" s="7"/>
      <c r="L25" s="10" t="s">
        <v>90</v>
      </c>
      <c r="M25" s="39">
        <f>SUM(M21:M22)</f>
        <v>462.02726798366803</v>
      </c>
      <c r="P25" s="27"/>
      <c r="S25" s="10"/>
    </row>
    <row r="26" spans="1:19" x14ac:dyDescent="0.2">
      <c r="A26" s="38"/>
      <c r="E26" s="7"/>
      <c r="K26" s="43"/>
      <c r="S26" s="10"/>
    </row>
    <row r="27" spans="1:19" x14ac:dyDescent="0.2">
      <c r="A27" s="3"/>
      <c r="E27" s="7"/>
      <c r="J27" s="31" t="s">
        <v>91</v>
      </c>
      <c r="S27" s="10"/>
    </row>
    <row r="28" spans="1:19" x14ac:dyDescent="0.2">
      <c r="K28" s="22"/>
      <c r="O28" s="27"/>
      <c r="S28" s="10"/>
    </row>
    <row r="29" spans="1:19" x14ac:dyDescent="0.2">
      <c r="J29" s="10" t="s">
        <v>55</v>
      </c>
      <c r="K29" s="22" t="s">
        <v>56</v>
      </c>
      <c r="L29" s="10" t="s">
        <v>57</v>
      </c>
      <c r="M29" s="10" t="s">
        <v>89</v>
      </c>
      <c r="O29" s="27"/>
      <c r="P29" s="27"/>
      <c r="Q29" s="39"/>
      <c r="S29" s="10"/>
    </row>
    <row r="30" spans="1:19" x14ac:dyDescent="0.2">
      <c r="J30" s="10">
        <v>60</v>
      </c>
      <c r="K30" s="10">
        <f>J30-6</f>
        <v>54</v>
      </c>
      <c r="L30" s="27">
        <f>K30^($B$16)/($B$17^$B$16+K30^$B$16)</f>
        <v>0.92250203564314082</v>
      </c>
      <c r="M30" s="39">
        <f>$K$15*(L30-L31)/(1+$C$19)^2.5</f>
        <v>156.15971060285415</v>
      </c>
      <c r="O30" s="27"/>
      <c r="P30" s="27"/>
      <c r="Q30" s="39"/>
      <c r="S30" s="10"/>
    </row>
    <row r="31" spans="1:19" x14ac:dyDescent="0.2">
      <c r="J31" s="10">
        <v>48</v>
      </c>
      <c r="K31" s="10">
        <f t="shared" ref="K31:K33" si="7">J31-6</f>
        <v>42</v>
      </c>
      <c r="L31" s="27">
        <f t="shared" ref="L31:L33" si="8">K31^($B$16)/($B$17^$B$16+K31^$B$16)</f>
        <v>0.90073502461727128</v>
      </c>
      <c r="M31" s="39">
        <f>$K$15*(L31-L32)/(1+$C$19)^1.5</f>
        <v>285.52673426203609</v>
      </c>
      <c r="O31" s="27"/>
      <c r="P31" s="27"/>
      <c r="Q31" s="39"/>
      <c r="S31" s="10"/>
    </row>
    <row r="32" spans="1:19" x14ac:dyDescent="0.2">
      <c r="J32" s="10">
        <v>36</v>
      </c>
      <c r="K32" s="10">
        <f t="shared" si="7"/>
        <v>30</v>
      </c>
      <c r="L32" s="27">
        <f t="shared" si="8"/>
        <v>0.86318841609108332</v>
      </c>
      <c r="M32" s="39">
        <f>$K$15*(L32-L33)/(1+$C$19)^0.5</f>
        <v>636.6818072121772</v>
      </c>
      <c r="S32" s="10"/>
    </row>
    <row r="33" spans="10:19" x14ac:dyDescent="0.2">
      <c r="J33" s="10">
        <v>24</v>
      </c>
      <c r="K33" s="10">
        <f t="shared" si="7"/>
        <v>18</v>
      </c>
      <c r="L33" s="27">
        <f t="shared" si="8"/>
        <v>0.78420416373573076</v>
      </c>
      <c r="S33" s="10"/>
    </row>
    <row r="34" spans="10:19" x14ac:dyDescent="0.2">
      <c r="S34" s="10"/>
    </row>
    <row r="35" spans="10:19" x14ac:dyDescent="0.2">
      <c r="L35" s="10" t="s">
        <v>90</v>
      </c>
      <c r="M35" s="39">
        <f>SUM(M30:M32)</f>
        <v>1078.3682520770674</v>
      </c>
      <c r="S35" s="10"/>
    </row>
    <row r="36" spans="10:19" x14ac:dyDescent="0.2">
      <c r="S36" s="10"/>
    </row>
    <row r="37" spans="10:19" x14ac:dyDescent="0.2">
      <c r="J37" s="31" t="s">
        <v>91</v>
      </c>
      <c r="S37" s="10"/>
    </row>
    <row r="38" spans="10:19" x14ac:dyDescent="0.2">
      <c r="K38" s="22"/>
      <c r="S38" s="10"/>
    </row>
    <row r="39" spans="10:19" x14ac:dyDescent="0.2">
      <c r="J39" s="10" t="s">
        <v>55</v>
      </c>
      <c r="K39" s="22" t="s">
        <v>56</v>
      </c>
      <c r="L39" s="10" t="s">
        <v>57</v>
      </c>
      <c r="M39" s="10" t="s">
        <v>89</v>
      </c>
      <c r="S39" s="10"/>
    </row>
    <row r="40" spans="10:19" x14ac:dyDescent="0.2">
      <c r="J40" s="10">
        <v>60</v>
      </c>
      <c r="K40" s="10">
        <f>J40-6</f>
        <v>54</v>
      </c>
      <c r="L40" s="27">
        <f>K40^($B$16)/($B$17^$B$16+K40^$B$16)</f>
        <v>0.92250203564314082</v>
      </c>
      <c r="M40" s="39">
        <f>$K$16*(L40-L41)/(1+$C$19)^3.5</f>
        <v>149.25890909160589</v>
      </c>
      <c r="S40" s="10"/>
    </row>
    <row r="41" spans="10:19" x14ac:dyDescent="0.2">
      <c r="J41" s="10">
        <v>48</v>
      </c>
      <c r="K41" s="10">
        <f t="shared" ref="K41:K44" si="9">J41-6</f>
        <v>42</v>
      </c>
      <c r="L41" s="27">
        <f t="shared" ref="L41:L44" si="10">K41^($B$16)/($B$17^$B$16+K41^$B$16)</f>
        <v>0.90073502461727128</v>
      </c>
      <c r="M41" s="39">
        <f>$K$16*(L41-L42)/(1+$C$19)^2.5</f>
        <v>272.90911790189642</v>
      </c>
      <c r="S41" s="10"/>
    </row>
    <row r="42" spans="10:19" x14ac:dyDescent="0.2">
      <c r="J42" s="10">
        <v>36</v>
      </c>
      <c r="K42" s="10">
        <f t="shared" si="9"/>
        <v>30</v>
      </c>
      <c r="L42" s="27">
        <f t="shared" si="10"/>
        <v>0.86318841609108332</v>
      </c>
      <c r="M42" s="39">
        <f>$K$16*(L42-L43)/(1+$C$19)^1.5</f>
        <v>608.54641453994066</v>
      </c>
      <c r="S42" s="10"/>
    </row>
    <row r="43" spans="10:19" x14ac:dyDescent="0.2">
      <c r="J43" s="10">
        <v>24</v>
      </c>
      <c r="K43" s="10">
        <f t="shared" si="9"/>
        <v>18</v>
      </c>
      <c r="L43" s="27">
        <f t="shared" si="10"/>
        <v>0.78420416373573076</v>
      </c>
      <c r="M43" s="39">
        <f>$K$16*(L43-L44)/(1+$C$19)^0.5</f>
        <v>2109.2628488078053</v>
      </c>
      <c r="S43" s="10"/>
    </row>
    <row r="44" spans="10:19" x14ac:dyDescent="0.2">
      <c r="J44" s="10">
        <v>12</v>
      </c>
      <c r="K44" s="10">
        <f t="shared" si="9"/>
        <v>6</v>
      </c>
      <c r="L44" s="27">
        <f t="shared" si="10"/>
        <v>0.52593554391637098</v>
      </c>
      <c r="S44" s="10"/>
    </row>
    <row r="45" spans="10:19" x14ac:dyDescent="0.2">
      <c r="S45" s="10"/>
    </row>
    <row r="46" spans="10:19" x14ac:dyDescent="0.2">
      <c r="L46" s="10" t="s">
        <v>90</v>
      </c>
      <c r="M46" s="39">
        <f>SUM(M40:M43)</f>
        <v>3139.9772903412481</v>
      </c>
    </row>
    <row r="48" spans="10:19" x14ac:dyDescent="0.2">
      <c r="J48" s="2" t="s">
        <v>92</v>
      </c>
      <c r="K48" s="2"/>
      <c r="L48" s="25">
        <f>M25+M35+M46</f>
        <v>4680.3728104019838</v>
      </c>
    </row>
    <row r="50" spans="10:13" x14ac:dyDescent="0.2">
      <c r="J50" s="2" t="s">
        <v>4</v>
      </c>
    </row>
    <row r="52" spans="10:13" x14ac:dyDescent="0.2">
      <c r="J52" s="10" t="s">
        <v>55</v>
      </c>
      <c r="K52" s="22" t="s">
        <v>56</v>
      </c>
      <c r="L52" s="10" t="s">
        <v>57</v>
      </c>
      <c r="M52" s="10" t="s">
        <v>94</v>
      </c>
    </row>
    <row r="53" spans="10:13" x14ac:dyDescent="0.2">
      <c r="J53" s="10">
        <v>60</v>
      </c>
      <c r="K53" s="10">
        <f>J53-6</f>
        <v>54</v>
      </c>
      <c r="L53" s="27">
        <f>K53^($B$16)/($B$17^$B$16+K53^$B$16)</f>
        <v>0.92250203564314082</v>
      </c>
      <c r="M53" s="39">
        <f>$K$15*(L53-L54)/(1+$C$19)^(2*3-1)</f>
        <v>134.9908501053346</v>
      </c>
    </row>
    <row r="54" spans="10:13" x14ac:dyDescent="0.2">
      <c r="J54" s="10">
        <v>48</v>
      </c>
      <c r="K54" s="10">
        <f t="shared" ref="K54:K56" si="11">J54-6</f>
        <v>42</v>
      </c>
      <c r="L54" s="27">
        <f t="shared" ref="L54:L56" si="12">K54^($B$16)/($B$17^$B$16+K54^$B$16)</f>
        <v>0.90073502461727128</v>
      </c>
      <c r="M54" s="39">
        <f>$K$15*(L54-L55)/(1+$C$19)^(2*2-1)</f>
        <v>261.63026444693878</v>
      </c>
    </row>
    <row r="55" spans="10:13" x14ac:dyDescent="0.2">
      <c r="J55" s="10">
        <v>36</v>
      </c>
      <c r="K55" s="10">
        <f t="shared" si="11"/>
        <v>30</v>
      </c>
      <c r="L55" s="27">
        <f t="shared" si="12"/>
        <v>0.86318841609108332</v>
      </c>
      <c r="M55" s="39">
        <f>$K$15*(L55-L56)/(1+$C$19)^(2*1-1)</f>
        <v>618.40003816526087</v>
      </c>
    </row>
    <row r="56" spans="10:13" x14ac:dyDescent="0.2">
      <c r="J56" s="10">
        <v>24</v>
      </c>
      <c r="K56" s="10">
        <f t="shared" si="11"/>
        <v>18</v>
      </c>
      <c r="L56" s="27">
        <f t="shared" si="12"/>
        <v>0.78420416373573076</v>
      </c>
    </row>
    <row r="58" spans="10:13" x14ac:dyDescent="0.2">
      <c r="L58" s="10" t="s">
        <v>90</v>
      </c>
      <c r="M58" s="39">
        <f>SUM(M53:M55)</f>
        <v>1015.0211527175343</v>
      </c>
    </row>
    <row r="60" spans="10:13" x14ac:dyDescent="0.2">
      <c r="J60" s="2" t="s">
        <v>77</v>
      </c>
      <c r="K60" s="33">
        <f>SQRT(C20*M58)</f>
        <v>450.559907829699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EDF49-71FD-0548-9502-3CFECF0297FC}">
  <dimension ref="A1:P66"/>
  <sheetViews>
    <sheetView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9.5" hidden="1" customWidth="1" outlineLevel="1"/>
    <col min="11" max="11" width="15" hidden="1" customWidth="1" outlineLevel="1"/>
    <col min="12" max="14" width="10.83203125" hidden="1" customWidth="1" outlineLevel="1"/>
    <col min="15" max="15" width="12" hidden="1" customWidth="1" outlineLevel="1"/>
    <col min="16" max="16" width="10.83203125" collapsed="1"/>
  </cols>
  <sheetData>
    <row r="1" spans="1:16" x14ac:dyDescent="0.2">
      <c r="A1" s="2" t="s">
        <v>0</v>
      </c>
      <c r="B1" s="1" t="s">
        <v>5</v>
      </c>
      <c r="C1" s="1" t="s">
        <v>30</v>
      </c>
      <c r="D1" s="1" t="s">
        <v>15</v>
      </c>
      <c r="I1" s="2" t="s">
        <v>2</v>
      </c>
      <c r="J1" s="2" t="s">
        <v>3</v>
      </c>
      <c r="K1" s="23"/>
      <c r="L1" s="10"/>
      <c r="M1" s="10"/>
      <c r="N1" s="10"/>
    </row>
    <row r="2" spans="1:16" x14ac:dyDescent="0.2">
      <c r="J2" s="10"/>
      <c r="K2" s="22"/>
      <c r="L2" s="10"/>
      <c r="M2" s="10"/>
      <c r="N2" s="10"/>
    </row>
    <row r="3" spans="1:16" x14ac:dyDescent="0.2">
      <c r="A3" s="5" t="s">
        <v>95</v>
      </c>
      <c r="B3" s="1"/>
      <c r="J3" s="31" t="s">
        <v>105</v>
      </c>
      <c r="K3" s="10"/>
      <c r="L3" s="10"/>
      <c r="M3" s="10"/>
      <c r="N3" s="10"/>
      <c r="O3" s="10"/>
      <c r="P3" s="10"/>
    </row>
    <row r="4" spans="1:16" x14ac:dyDescent="0.2">
      <c r="A4" s="5"/>
      <c r="B4" s="1"/>
      <c r="J4" s="10"/>
      <c r="K4" s="10"/>
      <c r="L4" s="10"/>
      <c r="M4" s="10"/>
      <c r="N4" s="10"/>
      <c r="O4" s="10"/>
      <c r="P4" s="10"/>
    </row>
    <row r="5" spans="1:16" x14ac:dyDescent="0.2">
      <c r="A5" s="82"/>
      <c r="B5" s="98" t="s">
        <v>96</v>
      </c>
      <c r="C5" s="98"/>
      <c r="D5" s="99"/>
      <c r="E5" s="7"/>
      <c r="J5" s="40" t="s">
        <v>8</v>
      </c>
      <c r="K5" s="10" t="s">
        <v>9</v>
      </c>
      <c r="L5" s="10" t="s">
        <v>10</v>
      </c>
      <c r="M5" s="10" t="s">
        <v>11</v>
      </c>
      <c r="N5" s="10"/>
      <c r="O5" s="10"/>
      <c r="P5" s="10"/>
    </row>
    <row r="6" spans="1:16" x14ac:dyDescent="0.2">
      <c r="A6" s="82" t="s">
        <v>8</v>
      </c>
      <c r="B6" s="13" t="s">
        <v>9</v>
      </c>
      <c r="C6" s="13" t="s">
        <v>10</v>
      </c>
      <c r="D6" s="14" t="s">
        <v>11</v>
      </c>
      <c r="E6" s="7"/>
      <c r="J6" s="40">
        <v>2010</v>
      </c>
      <c r="K6" s="41">
        <f>(B7-B13)^2/B13</f>
        <v>41.223764419019041</v>
      </c>
      <c r="L6" s="41">
        <f>(C7-C13)^2/C13</f>
        <v>158.55439669124257</v>
      </c>
      <c r="M6" s="41">
        <f>(D7-D13)^2/D13</f>
        <v>59.699059561128529</v>
      </c>
      <c r="N6" s="10"/>
      <c r="O6" s="10"/>
      <c r="P6" s="10"/>
    </row>
    <row r="7" spans="1:16" x14ac:dyDescent="0.2">
      <c r="A7" s="73">
        <v>2010</v>
      </c>
      <c r="B7" s="16">
        <v>10000</v>
      </c>
      <c r="C7" s="16">
        <v>6500</v>
      </c>
      <c r="D7" s="17">
        <v>1000</v>
      </c>
      <c r="J7" s="40">
        <v>2011</v>
      </c>
      <c r="K7" s="41">
        <f>(B8-B14)^2/B14</f>
        <v>2.4343856979840244E-2</v>
      </c>
      <c r="L7" s="41">
        <f>(C8-C14)^2/C14</f>
        <v>4.6681254558716266E-2</v>
      </c>
      <c r="M7" s="41"/>
      <c r="N7" s="10"/>
      <c r="O7" s="10"/>
      <c r="P7" s="10"/>
    </row>
    <row r="8" spans="1:16" x14ac:dyDescent="0.2">
      <c r="A8" s="73">
        <v>2011</v>
      </c>
      <c r="B8" s="16">
        <v>10500</v>
      </c>
      <c r="C8" s="16">
        <v>5500</v>
      </c>
      <c r="D8" s="64"/>
      <c r="E8" s="8"/>
      <c r="J8" s="40">
        <v>2012</v>
      </c>
      <c r="K8" s="41">
        <f>(B9-B15)^2/B15</f>
        <v>0</v>
      </c>
      <c r="L8" s="41"/>
      <c r="M8" s="41"/>
      <c r="N8" s="10"/>
      <c r="O8" s="10"/>
      <c r="P8" s="10"/>
    </row>
    <row r="9" spans="1:16" x14ac:dyDescent="0.2">
      <c r="A9" s="74">
        <v>2012</v>
      </c>
      <c r="B9" s="18">
        <v>11000</v>
      </c>
      <c r="C9" s="12"/>
      <c r="D9" s="15"/>
      <c r="E9" s="7"/>
      <c r="N9" s="40"/>
      <c r="O9" s="40"/>
      <c r="P9" s="10"/>
    </row>
    <row r="10" spans="1:16" x14ac:dyDescent="0.2">
      <c r="A10" s="38"/>
      <c r="E10" s="7"/>
      <c r="J10" s="51" t="s">
        <v>106</v>
      </c>
      <c r="K10" s="46"/>
      <c r="L10" s="46"/>
      <c r="M10" s="46"/>
      <c r="N10" s="46"/>
      <c r="O10" s="46"/>
      <c r="P10" s="10"/>
    </row>
    <row r="11" spans="1:16" x14ac:dyDescent="0.2">
      <c r="A11" s="90"/>
      <c r="B11" s="100" t="s">
        <v>97</v>
      </c>
      <c r="C11" s="98"/>
      <c r="D11" s="98"/>
      <c r="E11" s="99"/>
      <c r="J11" s="2"/>
      <c r="K11" s="11"/>
      <c r="L11" s="46"/>
      <c r="M11" s="46"/>
      <c r="N11" s="46"/>
      <c r="O11" s="46"/>
      <c r="P11" s="10"/>
    </row>
    <row r="12" spans="1:16" x14ac:dyDescent="0.2">
      <c r="A12" s="90" t="s">
        <v>8</v>
      </c>
      <c r="B12" s="60" t="s">
        <v>9</v>
      </c>
      <c r="C12" s="13" t="s">
        <v>10</v>
      </c>
      <c r="D12" s="14" t="s">
        <v>11</v>
      </c>
      <c r="E12" s="91" t="s">
        <v>59</v>
      </c>
      <c r="J12" s="40" t="s">
        <v>107</v>
      </c>
      <c r="K12" s="46">
        <v>6</v>
      </c>
      <c r="L12" s="92" t="s">
        <v>108</v>
      </c>
      <c r="M12" s="46"/>
      <c r="N12" s="46"/>
      <c r="O12" s="46"/>
      <c r="P12" s="10"/>
    </row>
    <row r="13" spans="1:16" x14ac:dyDescent="0.2">
      <c r="A13" s="66">
        <v>2010</v>
      </c>
      <c r="B13" s="29">
        <v>10663</v>
      </c>
      <c r="C13" s="16">
        <v>5561</v>
      </c>
      <c r="D13" s="17">
        <v>1276</v>
      </c>
      <c r="E13" s="35">
        <v>1424</v>
      </c>
      <c r="J13" s="40" t="s">
        <v>109</v>
      </c>
      <c r="K13" s="46">
        <v>5</v>
      </c>
      <c r="L13" s="92" t="s">
        <v>110</v>
      </c>
      <c r="M13" s="46"/>
      <c r="N13" s="46"/>
      <c r="O13" s="46"/>
      <c r="P13" s="10"/>
    </row>
    <row r="14" spans="1:16" x14ac:dyDescent="0.2">
      <c r="A14" s="66">
        <v>2011</v>
      </c>
      <c r="B14" s="29">
        <v>10516</v>
      </c>
      <c r="C14" s="16">
        <v>5484</v>
      </c>
      <c r="D14" s="64"/>
      <c r="E14" s="36">
        <v>2663</v>
      </c>
      <c r="J14" s="40"/>
      <c r="K14" s="46"/>
      <c r="L14" s="46"/>
      <c r="M14" s="46"/>
      <c r="N14" s="46"/>
      <c r="O14" s="46"/>
      <c r="P14" s="10"/>
    </row>
    <row r="15" spans="1:16" x14ac:dyDescent="0.2">
      <c r="A15" s="69">
        <v>2012</v>
      </c>
      <c r="B15" s="30">
        <v>11000</v>
      </c>
      <c r="C15" s="12"/>
      <c r="D15" s="15"/>
      <c r="E15" s="37">
        <v>8522</v>
      </c>
      <c r="J15" s="40" t="s">
        <v>111</v>
      </c>
      <c r="K15" s="48">
        <f>SUM(K6:M8)</f>
        <v>259.54824578292869</v>
      </c>
      <c r="L15" s="10"/>
      <c r="M15" s="10"/>
      <c r="N15" s="10"/>
      <c r="O15" s="10"/>
      <c r="P15" s="10"/>
    </row>
    <row r="16" spans="1:16" x14ac:dyDescent="0.2">
      <c r="J16" s="40" t="s">
        <v>112</v>
      </c>
      <c r="K16" s="43">
        <f>1/(K12-K13)*K15</f>
        <v>259.54824578292869</v>
      </c>
      <c r="L16" s="10" t="s">
        <v>113</v>
      </c>
      <c r="M16" s="10"/>
      <c r="N16" s="10"/>
      <c r="O16" s="10"/>
      <c r="P16" s="10"/>
    </row>
    <row r="17" spans="1:16" x14ac:dyDescent="0.2">
      <c r="A17" s="90"/>
      <c r="B17" s="100" t="s">
        <v>98</v>
      </c>
      <c r="C17" s="98"/>
      <c r="D17" s="98"/>
      <c r="E17" s="99"/>
      <c r="J17" s="10"/>
      <c r="K17" s="47"/>
      <c r="L17" s="10"/>
      <c r="M17" s="10"/>
      <c r="N17" s="10"/>
      <c r="O17" s="10"/>
      <c r="P17" s="10"/>
    </row>
    <row r="18" spans="1:16" x14ac:dyDescent="0.2">
      <c r="A18" s="90" t="s">
        <v>8</v>
      </c>
      <c r="B18" s="60" t="s">
        <v>9</v>
      </c>
      <c r="C18" s="13" t="s">
        <v>10</v>
      </c>
      <c r="D18" s="14" t="s">
        <v>11</v>
      </c>
      <c r="E18" s="91" t="s">
        <v>59</v>
      </c>
      <c r="J18" s="40" t="s">
        <v>76</v>
      </c>
      <c r="K18" s="93">
        <f>K16*SUM(E13:E15)</f>
        <v>3272643.831076948</v>
      </c>
      <c r="L18" s="10" t="s">
        <v>114</v>
      </c>
      <c r="M18" s="10"/>
      <c r="N18" s="10"/>
      <c r="O18" s="10"/>
      <c r="P18" s="10"/>
    </row>
    <row r="19" spans="1:16" x14ac:dyDescent="0.2">
      <c r="A19" s="66">
        <v>2010</v>
      </c>
      <c r="B19" s="29">
        <v>10397</v>
      </c>
      <c r="C19" s="16">
        <v>5422</v>
      </c>
      <c r="D19" s="17">
        <v>1244</v>
      </c>
      <c r="E19" s="35">
        <v>1389</v>
      </c>
      <c r="J19" s="40" t="s">
        <v>115</v>
      </c>
      <c r="K19" s="94">
        <f>K18+D24</f>
        <v>9272643.831076948</v>
      </c>
      <c r="L19" s="10"/>
      <c r="M19" s="10"/>
      <c r="N19" s="10"/>
      <c r="O19" s="10"/>
      <c r="P19" s="10"/>
    </row>
    <row r="20" spans="1:16" x14ac:dyDescent="0.2">
      <c r="A20" s="66">
        <v>2011</v>
      </c>
      <c r="B20" s="29">
        <v>10744</v>
      </c>
      <c r="C20" s="16">
        <v>5603</v>
      </c>
      <c r="D20" s="64"/>
      <c r="E20" s="36">
        <v>2720</v>
      </c>
      <c r="J20" s="40" t="s">
        <v>80</v>
      </c>
      <c r="K20" s="10">
        <f>SQRT(K19)</f>
        <v>3045.1016126029272</v>
      </c>
      <c r="L20" s="10"/>
      <c r="M20" s="10"/>
      <c r="N20" s="10"/>
      <c r="O20" s="10"/>
      <c r="P20" s="10"/>
    </row>
    <row r="21" spans="1:16" x14ac:dyDescent="0.2">
      <c r="A21" s="69">
        <v>2012</v>
      </c>
      <c r="B21" s="30">
        <v>11090</v>
      </c>
      <c r="C21" s="12"/>
      <c r="D21" s="15"/>
      <c r="E21" s="37">
        <v>8592</v>
      </c>
      <c r="J21" s="44" t="s">
        <v>81</v>
      </c>
      <c r="K21" s="45">
        <f>K20/SUM(E13:E15)</f>
        <v>0.24150222956641504</v>
      </c>
      <c r="L21" s="10"/>
      <c r="M21" s="10"/>
      <c r="N21" s="10"/>
      <c r="O21" s="10"/>
      <c r="P21" s="10"/>
    </row>
    <row r="22" spans="1:16" x14ac:dyDescent="0.2">
      <c r="J22" s="10"/>
      <c r="K22" s="10"/>
      <c r="L22" s="10"/>
      <c r="M22" s="10"/>
      <c r="N22" s="10"/>
      <c r="O22" s="10"/>
      <c r="P22" s="10"/>
    </row>
    <row r="23" spans="1:16" x14ac:dyDescent="0.2">
      <c r="A23" s="42" t="s">
        <v>99</v>
      </c>
      <c r="J23" s="2" t="s">
        <v>4</v>
      </c>
      <c r="K23" s="23"/>
      <c r="L23" s="10"/>
      <c r="M23" s="10"/>
      <c r="N23" s="10"/>
      <c r="O23" s="10"/>
      <c r="P23" s="10"/>
    </row>
    <row r="24" spans="1:16" x14ac:dyDescent="0.2">
      <c r="A24" s="42" t="s">
        <v>100</v>
      </c>
      <c r="D24" s="9">
        <v>6000000</v>
      </c>
      <c r="J24" s="10"/>
      <c r="K24" s="22"/>
      <c r="L24" s="10"/>
      <c r="M24" s="10"/>
      <c r="N24" s="10"/>
      <c r="O24" s="10"/>
      <c r="P24" s="10"/>
    </row>
    <row r="25" spans="1:16" x14ac:dyDescent="0.2">
      <c r="A25" s="42" t="s">
        <v>101</v>
      </c>
      <c r="D25" s="9">
        <v>3000000</v>
      </c>
      <c r="J25" s="31" t="s">
        <v>105</v>
      </c>
      <c r="K25" s="10"/>
      <c r="L25" s="10"/>
      <c r="M25" s="10"/>
      <c r="N25" s="10"/>
      <c r="O25" s="10"/>
      <c r="P25" s="10"/>
    </row>
    <row r="26" spans="1:16" x14ac:dyDescent="0.2">
      <c r="J26" s="10"/>
      <c r="K26" s="10"/>
      <c r="L26" s="10"/>
      <c r="M26" s="10"/>
      <c r="N26" s="10"/>
      <c r="O26" s="10"/>
      <c r="P26" s="10"/>
    </row>
    <row r="27" spans="1:16" x14ac:dyDescent="0.2">
      <c r="A27" s="1" t="s">
        <v>12</v>
      </c>
      <c r="B27" t="s">
        <v>102</v>
      </c>
      <c r="J27" s="40" t="s">
        <v>8</v>
      </c>
      <c r="K27" s="10" t="s">
        <v>9</v>
      </c>
      <c r="L27" s="10" t="s">
        <v>10</v>
      </c>
      <c r="M27" s="10" t="s">
        <v>11</v>
      </c>
      <c r="N27" s="10"/>
      <c r="O27" s="10"/>
      <c r="P27" s="10"/>
    </row>
    <row r="28" spans="1:16" x14ac:dyDescent="0.2">
      <c r="A28" s="1"/>
      <c r="B28" t="s">
        <v>103</v>
      </c>
      <c r="J28" s="40">
        <v>2010</v>
      </c>
      <c r="K28" s="41">
        <f>(B7-B19)^2/B19</f>
        <v>15.159084351255169</v>
      </c>
      <c r="L28" s="41">
        <f t="shared" ref="L28:M29" si="0">(C7-C19)^2/C19</f>
        <v>214.32755440796754</v>
      </c>
      <c r="M28" s="41">
        <f t="shared" si="0"/>
        <v>47.858520900321544</v>
      </c>
      <c r="N28" s="10"/>
      <c r="O28" s="40"/>
      <c r="P28" s="10"/>
    </row>
    <row r="29" spans="1:16" x14ac:dyDescent="0.2">
      <c r="A29" s="1"/>
      <c r="J29" s="40">
        <v>2011</v>
      </c>
      <c r="K29" s="41">
        <f t="shared" ref="K29:K30" si="1">(B8-B20)^2/B20</f>
        <v>5.5413253909158602</v>
      </c>
      <c r="L29" s="41">
        <f t="shared" si="0"/>
        <v>1.8934499375334641</v>
      </c>
      <c r="M29" s="41"/>
      <c r="N29" s="10"/>
      <c r="O29" s="46"/>
      <c r="P29" s="10"/>
    </row>
    <row r="30" spans="1:16" x14ac:dyDescent="0.2">
      <c r="A30" s="1" t="s">
        <v>1</v>
      </c>
      <c r="B30" t="s">
        <v>102</v>
      </c>
      <c r="J30" s="40">
        <v>2012</v>
      </c>
      <c r="K30" s="41">
        <f t="shared" si="1"/>
        <v>0.73038773669972945</v>
      </c>
      <c r="L30" s="41"/>
      <c r="M30" s="41"/>
      <c r="N30" s="10"/>
      <c r="O30" s="46"/>
      <c r="P30" s="10"/>
    </row>
    <row r="31" spans="1:16" x14ac:dyDescent="0.2">
      <c r="B31" t="s">
        <v>51</v>
      </c>
      <c r="N31" s="40"/>
      <c r="O31" s="46"/>
      <c r="P31" s="10"/>
    </row>
    <row r="32" spans="1:16" x14ac:dyDescent="0.2">
      <c r="J32" s="51" t="s">
        <v>106</v>
      </c>
      <c r="K32" s="46"/>
      <c r="L32" s="46"/>
      <c r="M32" s="46"/>
      <c r="N32" s="46"/>
      <c r="O32" s="46"/>
      <c r="P32" s="10"/>
    </row>
    <row r="33" spans="1:16" x14ac:dyDescent="0.2">
      <c r="A33" s="1" t="s">
        <v>17</v>
      </c>
      <c r="B33" t="s">
        <v>117</v>
      </c>
      <c r="J33" s="2"/>
      <c r="K33" s="11"/>
      <c r="L33" s="46"/>
      <c r="M33" s="46"/>
      <c r="N33" s="46"/>
      <c r="O33" s="46"/>
      <c r="P33" s="10"/>
    </row>
    <row r="34" spans="1:16" x14ac:dyDescent="0.2">
      <c r="B34" t="s">
        <v>104</v>
      </c>
      <c r="J34" s="40" t="s">
        <v>107</v>
      </c>
      <c r="K34" s="46">
        <v>6</v>
      </c>
      <c r="L34" s="92" t="s">
        <v>108</v>
      </c>
      <c r="M34" s="46"/>
      <c r="N34" s="46"/>
      <c r="O34" s="10"/>
      <c r="P34" s="10"/>
    </row>
    <row r="35" spans="1:16" x14ac:dyDescent="0.2">
      <c r="J35" s="40" t="s">
        <v>109</v>
      </c>
      <c r="K35" s="46">
        <v>3</v>
      </c>
      <c r="L35" s="92" t="s">
        <v>116</v>
      </c>
      <c r="M35" s="46"/>
      <c r="N35" s="46"/>
      <c r="O35" s="10"/>
      <c r="P35" s="10"/>
    </row>
    <row r="36" spans="1:16" x14ac:dyDescent="0.2">
      <c r="A36" s="3"/>
      <c r="J36" s="40"/>
      <c r="K36" s="46"/>
      <c r="L36" s="46"/>
      <c r="M36" s="46"/>
      <c r="N36" s="46"/>
      <c r="O36" s="10"/>
      <c r="P36" s="10"/>
    </row>
    <row r="37" spans="1:16" x14ac:dyDescent="0.2">
      <c r="J37" s="40" t="s">
        <v>111</v>
      </c>
      <c r="K37" s="48">
        <f>SUM(K28:M30)</f>
        <v>285.51032272469337</v>
      </c>
      <c r="L37" s="10"/>
      <c r="M37" s="10"/>
      <c r="N37" s="10"/>
      <c r="O37" s="10"/>
      <c r="P37" s="10"/>
    </row>
    <row r="38" spans="1:16" x14ac:dyDescent="0.2">
      <c r="J38" s="40" t="s">
        <v>112</v>
      </c>
      <c r="K38" s="43">
        <f>1/(K34-K35)*K37</f>
        <v>95.170107574897784</v>
      </c>
      <c r="L38" s="10" t="s">
        <v>113</v>
      </c>
      <c r="M38" s="10"/>
      <c r="N38" s="10"/>
      <c r="O38" s="10"/>
      <c r="P38" s="10"/>
    </row>
    <row r="39" spans="1:16" x14ac:dyDescent="0.2">
      <c r="J39" s="10"/>
      <c r="K39" s="47"/>
      <c r="L39" s="10"/>
      <c r="M39" s="10"/>
      <c r="N39" s="10"/>
      <c r="O39" s="10"/>
      <c r="P39" s="10"/>
    </row>
    <row r="40" spans="1:16" x14ac:dyDescent="0.2">
      <c r="J40" s="40" t="s">
        <v>76</v>
      </c>
      <c r="K40" s="93">
        <f>K38*SUM(E19:E21)</f>
        <v>1208755.5363087768</v>
      </c>
      <c r="L40" s="10" t="s">
        <v>114</v>
      </c>
      <c r="M40" s="10"/>
      <c r="N40" s="10"/>
      <c r="O40" s="10"/>
      <c r="P40" s="10"/>
    </row>
    <row r="41" spans="1:16" x14ac:dyDescent="0.2">
      <c r="J41" s="40" t="s">
        <v>115</v>
      </c>
      <c r="K41" s="94">
        <f>K40+D25</f>
        <v>4208755.5363087766</v>
      </c>
      <c r="L41" s="10"/>
      <c r="M41" s="10"/>
      <c r="N41" s="10"/>
      <c r="O41" s="10"/>
      <c r="P41" s="10"/>
    </row>
    <row r="42" spans="1:16" x14ac:dyDescent="0.2">
      <c r="J42" s="40" t="s">
        <v>80</v>
      </c>
      <c r="K42" s="10">
        <f>SQRT(K41)</f>
        <v>2051.525173208649</v>
      </c>
      <c r="L42" s="10"/>
      <c r="M42" s="10"/>
      <c r="N42" s="10"/>
      <c r="O42" s="10"/>
      <c r="P42" s="10"/>
    </row>
    <row r="43" spans="1:16" x14ac:dyDescent="0.2">
      <c r="J43" s="44" t="s">
        <v>81</v>
      </c>
      <c r="K43" s="45">
        <f>K42/SUM(E19:E21)</f>
        <v>0.1615246967332217</v>
      </c>
      <c r="L43" s="10"/>
      <c r="M43" s="10"/>
      <c r="N43" s="10"/>
      <c r="O43" s="10"/>
      <c r="P43" s="10"/>
    </row>
    <row r="44" spans="1:16" x14ac:dyDescent="0.2">
      <c r="J44" s="10"/>
      <c r="K44" s="10"/>
      <c r="L44" s="10"/>
      <c r="M44" s="10"/>
      <c r="N44" s="10"/>
      <c r="O44" s="10"/>
      <c r="P44" s="10"/>
    </row>
    <row r="45" spans="1:16" x14ac:dyDescent="0.2">
      <c r="J45" s="52" t="s">
        <v>19</v>
      </c>
      <c r="K45" s="10"/>
      <c r="L45" s="10"/>
      <c r="M45" s="10"/>
      <c r="N45" s="10"/>
      <c r="O45" s="10"/>
      <c r="P45" s="10"/>
    </row>
    <row r="46" spans="1:16" x14ac:dyDescent="0.2">
      <c r="J46" s="10"/>
      <c r="K46" s="49"/>
      <c r="L46" s="10"/>
      <c r="M46" s="10"/>
      <c r="N46" s="10"/>
      <c r="O46" s="10"/>
      <c r="P46" s="10"/>
    </row>
    <row r="47" spans="1:16" x14ac:dyDescent="0.2">
      <c r="J47" s="10" t="s">
        <v>118</v>
      </c>
      <c r="K47" s="47"/>
      <c r="L47" s="10"/>
      <c r="M47" s="10"/>
      <c r="N47" s="10"/>
      <c r="O47" s="10"/>
      <c r="P47" s="10"/>
    </row>
    <row r="48" spans="1:16" x14ac:dyDescent="0.2">
      <c r="J48" s="10" t="s">
        <v>119</v>
      </c>
      <c r="K48" s="48"/>
      <c r="L48" s="10"/>
      <c r="M48" s="10"/>
      <c r="N48" s="10"/>
      <c r="O48" s="10"/>
      <c r="P48" s="10"/>
    </row>
    <row r="49" spans="10:16" x14ac:dyDescent="0.2">
      <c r="J49" s="10"/>
      <c r="K49" s="10"/>
      <c r="L49" s="10"/>
      <c r="M49" s="10"/>
      <c r="N49" s="10"/>
      <c r="O49" s="10"/>
      <c r="P49" s="10"/>
    </row>
    <row r="50" spans="10:16" x14ac:dyDescent="0.2">
      <c r="J50" s="10" t="s">
        <v>120</v>
      </c>
      <c r="K50" s="10"/>
      <c r="L50" s="10"/>
      <c r="M50" s="10"/>
      <c r="N50" s="10"/>
      <c r="O50" s="10"/>
      <c r="P50" s="10"/>
    </row>
    <row r="51" spans="10:16" x14ac:dyDescent="0.2">
      <c r="J51" s="10" t="s">
        <v>121</v>
      </c>
      <c r="K51" s="10"/>
      <c r="L51" s="10"/>
      <c r="M51" s="10"/>
      <c r="N51" s="10"/>
      <c r="O51" s="10"/>
      <c r="P51" s="10"/>
    </row>
    <row r="52" spans="10:16" x14ac:dyDescent="0.2">
      <c r="J52" s="10"/>
      <c r="K52" s="10"/>
      <c r="L52" s="10"/>
      <c r="M52" s="10"/>
      <c r="N52" s="10"/>
      <c r="O52" s="10"/>
      <c r="P52" s="10"/>
    </row>
    <row r="53" spans="10:16" x14ac:dyDescent="0.2">
      <c r="J53" s="10"/>
      <c r="K53" s="47"/>
      <c r="L53" s="10"/>
      <c r="M53" s="10"/>
      <c r="N53" s="10"/>
      <c r="O53" s="10"/>
      <c r="P53" s="10"/>
    </row>
    <row r="54" spans="10:16" x14ac:dyDescent="0.2">
      <c r="J54" s="10"/>
      <c r="K54" s="47"/>
      <c r="L54" s="10"/>
      <c r="M54" s="10"/>
      <c r="N54" s="10"/>
      <c r="O54" s="10"/>
      <c r="P54" s="10"/>
    </row>
    <row r="55" spans="10:16" x14ac:dyDescent="0.2">
      <c r="J55" s="10"/>
      <c r="K55" s="10"/>
      <c r="L55" s="10"/>
      <c r="M55" s="10"/>
      <c r="N55" s="10"/>
      <c r="O55" s="10"/>
      <c r="P55" s="10"/>
    </row>
    <row r="56" spans="10:16" x14ac:dyDescent="0.2">
      <c r="J56" s="10"/>
      <c r="K56" s="10"/>
      <c r="L56" s="10"/>
      <c r="M56" s="10"/>
      <c r="N56" s="10"/>
      <c r="O56" s="10"/>
      <c r="P56" s="10"/>
    </row>
    <row r="57" spans="10:16" x14ac:dyDescent="0.2">
      <c r="J57" s="10"/>
      <c r="K57" s="10"/>
      <c r="L57" s="10"/>
      <c r="M57" s="10"/>
      <c r="N57" s="10"/>
      <c r="O57" s="10"/>
      <c r="P57" s="10"/>
    </row>
    <row r="58" spans="10:16" x14ac:dyDescent="0.2">
      <c r="J58" s="10"/>
      <c r="K58" s="47"/>
      <c r="L58" s="10"/>
      <c r="M58" s="10"/>
      <c r="N58" s="10"/>
      <c r="O58" s="10"/>
      <c r="P58" s="10"/>
    </row>
    <row r="59" spans="10:16" x14ac:dyDescent="0.2">
      <c r="J59" s="10"/>
      <c r="K59" s="10"/>
      <c r="L59" s="10"/>
      <c r="M59" s="10"/>
      <c r="N59" s="10"/>
      <c r="O59" s="10"/>
      <c r="P59" s="10"/>
    </row>
    <row r="60" spans="10:16" x14ac:dyDescent="0.2">
      <c r="J60" s="10"/>
      <c r="K60" s="10"/>
      <c r="L60" s="10"/>
      <c r="M60" s="10"/>
      <c r="N60" s="10"/>
      <c r="O60" s="10"/>
      <c r="P60" s="10"/>
    </row>
    <row r="61" spans="10:16" x14ac:dyDescent="0.2">
      <c r="J61" s="10"/>
      <c r="K61" s="10"/>
      <c r="L61" s="10"/>
      <c r="M61" s="10"/>
      <c r="N61" s="10"/>
      <c r="O61" s="10"/>
      <c r="P61" s="10"/>
    </row>
    <row r="62" spans="10:16" x14ac:dyDescent="0.2">
      <c r="J62" s="10"/>
      <c r="K62" s="10"/>
      <c r="L62" s="10"/>
      <c r="M62" s="10"/>
      <c r="N62" s="10"/>
      <c r="O62" s="10"/>
      <c r="P62" s="10"/>
    </row>
    <row r="63" spans="10:16" x14ac:dyDescent="0.2">
      <c r="J63" s="10"/>
      <c r="K63" s="10"/>
      <c r="L63" s="10"/>
      <c r="M63" s="10"/>
      <c r="N63" s="10"/>
      <c r="O63" s="10"/>
      <c r="P63" s="10"/>
    </row>
    <row r="64" spans="10:16" x14ac:dyDescent="0.2">
      <c r="J64" s="10"/>
      <c r="K64" s="10"/>
      <c r="L64" s="10"/>
      <c r="M64" s="10"/>
      <c r="N64" s="10"/>
      <c r="O64" s="10"/>
      <c r="P64" s="10"/>
    </row>
    <row r="65" spans="10:16" x14ac:dyDescent="0.2">
      <c r="J65" s="10"/>
      <c r="K65" s="10"/>
      <c r="L65" s="10"/>
      <c r="M65" s="10"/>
      <c r="N65" s="10"/>
      <c r="O65" s="10"/>
      <c r="P65" s="10"/>
    </row>
    <row r="66" spans="10:16" x14ac:dyDescent="0.2">
      <c r="J66" s="10"/>
      <c r="K66" s="10"/>
      <c r="L66" s="10"/>
      <c r="M66" s="10"/>
      <c r="N66" s="10"/>
      <c r="O66" s="10"/>
      <c r="P66" s="10"/>
    </row>
  </sheetData>
  <mergeCells count="3">
    <mergeCell ref="B5:D5"/>
    <mergeCell ref="B11:E11"/>
    <mergeCell ref="B17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F9FC-0433-8342-8BDD-8A70DDD0EF39}">
  <dimension ref="A1:T38"/>
  <sheetViews>
    <sheetView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style="10" hidden="1" customWidth="1" outlineLevel="1"/>
    <col min="11" max="14" width="10.83203125" style="10" hidden="1" customWidth="1" outlineLevel="1"/>
    <col min="15" max="15" width="12" style="10" hidden="1" customWidth="1" outlineLevel="1"/>
    <col min="16" max="16" width="14.1640625" style="10" hidden="1" customWidth="1" outlineLevel="1"/>
    <col min="17" max="19" width="10.83203125" hidden="1" customWidth="1" outlineLevel="1"/>
    <col min="20" max="20" width="10.83203125" collapsed="1"/>
  </cols>
  <sheetData>
    <row r="1" spans="1:19" x14ac:dyDescent="0.2">
      <c r="A1" s="2" t="s">
        <v>0</v>
      </c>
      <c r="B1" s="1" t="s">
        <v>5</v>
      </c>
      <c r="C1" s="1" t="s">
        <v>30</v>
      </c>
      <c r="D1" s="1" t="s">
        <v>16</v>
      </c>
      <c r="I1" s="2" t="s">
        <v>2</v>
      </c>
      <c r="J1" s="2" t="s">
        <v>3</v>
      </c>
    </row>
    <row r="2" spans="1:19" x14ac:dyDescent="0.2">
      <c r="K2" s="22"/>
    </row>
    <row r="3" spans="1:19" x14ac:dyDescent="0.2">
      <c r="A3" s="5" t="s">
        <v>31</v>
      </c>
      <c r="B3" s="1"/>
      <c r="J3" s="31" t="s">
        <v>52</v>
      </c>
      <c r="K3" s="27"/>
      <c r="Q3" s="10"/>
      <c r="R3" s="10"/>
    </row>
    <row r="4" spans="1:19" x14ac:dyDescent="0.2">
      <c r="A4" s="5"/>
      <c r="B4" s="1"/>
      <c r="K4" s="27"/>
      <c r="Q4" s="10"/>
      <c r="R4" s="10"/>
    </row>
    <row r="5" spans="1:19" x14ac:dyDescent="0.2">
      <c r="A5" s="19" t="s">
        <v>32</v>
      </c>
      <c r="B5" s="19" t="s">
        <v>34</v>
      </c>
      <c r="C5" s="28"/>
      <c r="L5" s="10" t="s">
        <v>55</v>
      </c>
      <c r="M5" s="10" t="s">
        <v>56</v>
      </c>
      <c r="N5" s="10" t="s">
        <v>57</v>
      </c>
      <c r="O5" s="10" t="s">
        <v>55</v>
      </c>
      <c r="P5" s="10" t="s">
        <v>56</v>
      </c>
      <c r="Q5" s="10" t="s">
        <v>57</v>
      </c>
      <c r="R5" s="10" t="s">
        <v>125</v>
      </c>
      <c r="S5" s="10" t="s">
        <v>125</v>
      </c>
    </row>
    <row r="6" spans="1:19" x14ac:dyDescent="0.2">
      <c r="A6" s="20" t="s">
        <v>33</v>
      </c>
      <c r="B6" s="20" t="s">
        <v>35</v>
      </c>
      <c r="C6" s="28"/>
      <c r="J6" s="10" t="s">
        <v>8</v>
      </c>
      <c r="K6" s="27" t="s">
        <v>54</v>
      </c>
      <c r="L6" s="10" t="s">
        <v>35</v>
      </c>
      <c r="M6" s="10" t="s">
        <v>35</v>
      </c>
      <c r="N6" s="27" t="s">
        <v>35</v>
      </c>
      <c r="O6" s="10" t="s">
        <v>124</v>
      </c>
      <c r="P6" s="10" t="s">
        <v>124</v>
      </c>
      <c r="Q6" s="27" t="s">
        <v>124</v>
      </c>
      <c r="R6" s="10" t="s">
        <v>126</v>
      </c>
      <c r="S6" s="10" t="s">
        <v>127</v>
      </c>
    </row>
    <row r="7" spans="1:19" x14ac:dyDescent="0.2">
      <c r="A7" s="21">
        <v>2010</v>
      </c>
      <c r="B7" s="95">
        <v>13000</v>
      </c>
      <c r="C7" s="62"/>
      <c r="J7" s="10">
        <v>2010</v>
      </c>
      <c r="K7" s="76">
        <f>B7</f>
        <v>13000</v>
      </c>
      <c r="L7" s="10">
        <v>36</v>
      </c>
      <c r="M7" s="10">
        <f>L7-6</f>
        <v>30</v>
      </c>
      <c r="N7" s="27">
        <f>M7^$B$16/(M7^$B$16+$B$17^$B$16)</f>
        <v>0.9750390015600624</v>
      </c>
      <c r="O7" s="76">
        <f>L7+12</f>
        <v>48</v>
      </c>
      <c r="P7" s="76">
        <f>M7+12</f>
        <v>42</v>
      </c>
      <c r="Q7" s="27">
        <f>P7^$B$16/(P7^$B$16+$B$17^$B$16)</f>
        <v>0.98710717163577766</v>
      </c>
      <c r="R7" s="76">
        <f>K7/N7</f>
        <v>13332.8</v>
      </c>
      <c r="S7" s="32">
        <f>R7*(Q7-N7)</f>
        <v>160.90249798549635</v>
      </c>
    </row>
    <row r="8" spans="1:19" x14ac:dyDescent="0.2">
      <c r="A8" s="21">
        <v>2011</v>
      </c>
      <c r="B8" s="95">
        <v>11500</v>
      </c>
      <c r="C8" s="62"/>
      <c r="J8" s="10">
        <v>2011</v>
      </c>
      <c r="K8" s="76">
        <f t="shared" ref="K8:K9" si="0">B8</f>
        <v>11500</v>
      </c>
      <c r="L8" s="10">
        <v>24</v>
      </c>
      <c r="M8" s="10">
        <f t="shared" ref="M8:M9" si="1">L8-6</f>
        <v>18</v>
      </c>
      <c r="N8" s="27">
        <f t="shared" ref="N8:N9" si="2">M8^$B$16/(M8^$B$16+$B$17^$B$16)</f>
        <v>0.93360995850622397</v>
      </c>
      <c r="O8" s="76">
        <f t="shared" ref="O8:P9" si="3">L8+12</f>
        <v>36</v>
      </c>
      <c r="P8" s="76">
        <f t="shared" si="3"/>
        <v>30</v>
      </c>
      <c r="Q8" s="27">
        <f t="shared" ref="Q8:Q9" si="4">P8^$B$16/(P8^$B$16+$B$17^$B$16)</f>
        <v>0.9750390015600624</v>
      </c>
      <c r="R8" s="76">
        <f t="shared" ref="R8:R9" si="5">K8/N8</f>
        <v>12317.777777777779</v>
      </c>
      <c r="S8" s="32">
        <f t="shared" ref="S8:S9" si="6">R8*(Q8-N8)</f>
        <v>510.31374588316993</v>
      </c>
    </row>
    <row r="9" spans="1:19" x14ac:dyDescent="0.2">
      <c r="A9" s="20">
        <v>2012</v>
      </c>
      <c r="B9" s="96">
        <v>8000</v>
      </c>
      <c r="C9" s="62"/>
      <c r="J9" s="10">
        <v>2012</v>
      </c>
      <c r="K9" s="76">
        <f t="shared" si="0"/>
        <v>8000</v>
      </c>
      <c r="L9" s="10">
        <v>12</v>
      </c>
      <c r="M9" s="10">
        <f t="shared" si="1"/>
        <v>6</v>
      </c>
      <c r="N9" s="27">
        <f t="shared" si="2"/>
        <v>0.6097560975609756</v>
      </c>
      <c r="O9" s="76">
        <f t="shared" si="3"/>
        <v>24</v>
      </c>
      <c r="P9" s="76">
        <f t="shared" si="3"/>
        <v>18</v>
      </c>
      <c r="Q9" s="27">
        <f t="shared" si="4"/>
        <v>0.93360995850622397</v>
      </c>
      <c r="R9" s="76">
        <f t="shared" si="5"/>
        <v>13120</v>
      </c>
      <c r="S9" s="32">
        <f t="shared" si="6"/>
        <v>4248.9626556016583</v>
      </c>
    </row>
    <row r="10" spans="1:19" x14ac:dyDescent="0.2">
      <c r="A10" s="28"/>
      <c r="B10" s="16"/>
      <c r="C10" s="16"/>
      <c r="D10" s="16"/>
      <c r="E10" s="16"/>
      <c r="Q10" s="10"/>
      <c r="R10" s="10"/>
    </row>
    <row r="11" spans="1:19" x14ac:dyDescent="0.2">
      <c r="A11" s="6" t="s">
        <v>38</v>
      </c>
      <c r="B11" s="1"/>
      <c r="E11" s="8"/>
      <c r="J11" s="2" t="s">
        <v>127</v>
      </c>
      <c r="K11" s="33">
        <f>SUM(S7:S9)</f>
        <v>4920.1788994703247</v>
      </c>
      <c r="Q11" s="10"/>
      <c r="R11" s="10"/>
    </row>
    <row r="12" spans="1:19" x14ac:dyDescent="0.2">
      <c r="A12" s="6" t="s">
        <v>39</v>
      </c>
      <c r="E12" s="7"/>
      <c r="Q12" s="10"/>
      <c r="R12" s="10"/>
    </row>
    <row r="13" spans="1:19" x14ac:dyDescent="0.2">
      <c r="A13" s="6"/>
      <c r="E13" s="7"/>
      <c r="J13" s="2" t="s">
        <v>4</v>
      </c>
      <c r="Q13" s="10"/>
      <c r="R13" s="10"/>
    </row>
    <row r="14" spans="1:19" x14ac:dyDescent="0.2">
      <c r="A14" s="72" t="s">
        <v>40</v>
      </c>
      <c r="B14" s="19" t="s">
        <v>18</v>
      </c>
      <c r="C14" s="28"/>
      <c r="E14" s="7"/>
      <c r="Q14" s="10"/>
      <c r="R14" s="10"/>
    </row>
    <row r="15" spans="1:19" x14ac:dyDescent="0.2">
      <c r="A15" s="74" t="s">
        <v>41</v>
      </c>
      <c r="B15" s="20" t="s">
        <v>42</v>
      </c>
      <c r="C15" s="28"/>
      <c r="E15" s="7"/>
      <c r="J15" s="50" t="s">
        <v>128</v>
      </c>
      <c r="Q15" s="10"/>
      <c r="R15" s="10"/>
    </row>
    <row r="16" spans="1:19" x14ac:dyDescent="0.2">
      <c r="A16" s="73" t="s">
        <v>44</v>
      </c>
      <c r="B16" s="78">
        <v>2</v>
      </c>
      <c r="C16" s="67"/>
      <c r="E16" s="7"/>
      <c r="J16" s="50" t="s">
        <v>129</v>
      </c>
      <c r="Q16" s="10"/>
      <c r="R16" s="10"/>
    </row>
    <row r="17" spans="1:18" x14ac:dyDescent="0.2">
      <c r="A17" s="74" t="s">
        <v>45</v>
      </c>
      <c r="B17" s="79">
        <v>4.8</v>
      </c>
      <c r="C17" s="67"/>
      <c r="E17" s="7"/>
      <c r="L17" s="27"/>
      <c r="Q17" s="10"/>
      <c r="R17" s="10"/>
    </row>
    <row r="18" spans="1:18" x14ac:dyDescent="0.2">
      <c r="A18" s="6"/>
      <c r="E18" s="7"/>
      <c r="K18" s="22"/>
      <c r="O18" s="27"/>
      <c r="P18" s="39"/>
      <c r="Q18" s="10"/>
      <c r="R18" s="10"/>
    </row>
    <row r="19" spans="1:18" x14ac:dyDescent="0.2">
      <c r="A19" s="75" t="s">
        <v>12</v>
      </c>
      <c r="B19" t="s">
        <v>122</v>
      </c>
      <c r="E19" s="7"/>
      <c r="K19" s="22"/>
      <c r="O19" s="27"/>
      <c r="P19" s="39"/>
      <c r="Q19" s="10"/>
      <c r="R19" s="10"/>
    </row>
    <row r="20" spans="1:18" x14ac:dyDescent="0.2">
      <c r="A20" s="38"/>
      <c r="E20" s="7"/>
      <c r="P20" s="27"/>
      <c r="Q20" s="10"/>
      <c r="R20" s="10"/>
    </row>
    <row r="21" spans="1:18" x14ac:dyDescent="0.2">
      <c r="A21" s="38" t="s">
        <v>1</v>
      </c>
      <c r="B21" t="s">
        <v>123</v>
      </c>
      <c r="E21" s="7"/>
      <c r="K21" s="43"/>
      <c r="Q21" s="10"/>
      <c r="R21" s="10"/>
    </row>
    <row r="22" spans="1:18" x14ac:dyDescent="0.2">
      <c r="A22" s="6"/>
      <c r="E22" s="7"/>
      <c r="O22" s="27"/>
      <c r="Q22" s="10"/>
      <c r="R22" s="10"/>
    </row>
    <row r="23" spans="1:18" x14ac:dyDescent="0.2">
      <c r="A23" s="3"/>
      <c r="K23" s="22"/>
      <c r="O23" s="27"/>
      <c r="P23" s="27"/>
      <c r="Q23" s="39"/>
      <c r="R23" s="10"/>
    </row>
    <row r="24" spans="1:18" x14ac:dyDescent="0.2">
      <c r="K24" s="22"/>
      <c r="O24" s="27"/>
      <c r="P24" s="27"/>
      <c r="Q24" s="39"/>
      <c r="R24" s="10"/>
    </row>
    <row r="25" spans="1:18" x14ac:dyDescent="0.2">
      <c r="K25" s="22"/>
      <c r="O25" s="27"/>
      <c r="P25" s="27"/>
      <c r="Q25" s="39"/>
      <c r="R25" s="10"/>
    </row>
    <row r="26" spans="1:18" x14ac:dyDescent="0.2">
      <c r="Q26" s="10"/>
      <c r="R26" s="10"/>
    </row>
    <row r="27" spans="1:18" x14ac:dyDescent="0.2">
      <c r="K27" s="39"/>
      <c r="Q27" s="10"/>
      <c r="R27" s="10"/>
    </row>
    <row r="28" spans="1:18" x14ac:dyDescent="0.2">
      <c r="Q28" s="10"/>
      <c r="R28" s="10"/>
    </row>
    <row r="29" spans="1:18" x14ac:dyDescent="0.2">
      <c r="Q29" s="10"/>
      <c r="R29" s="10"/>
    </row>
    <row r="30" spans="1:18" x14ac:dyDescent="0.2">
      <c r="Q30" s="10"/>
      <c r="R30" s="10"/>
    </row>
    <row r="31" spans="1:18" x14ac:dyDescent="0.2">
      <c r="K31" s="23"/>
      <c r="Q31" s="10"/>
      <c r="R31" s="10"/>
    </row>
    <row r="32" spans="1:18" x14ac:dyDescent="0.2">
      <c r="Q32" s="10"/>
      <c r="R32" s="10"/>
    </row>
    <row r="33" spans="10:18" x14ac:dyDescent="0.2">
      <c r="J33" s="89"/>
      <c r="K33" s="2"/>
      <c r="L33" s="2"/>
      <c r="M33" s="2"/>
      <c r="N33" s="2"/>
      <c r="O33" s="2"/>
      <c r="P33" s="2"/>
      <c r="Q33" s="2"/>
      <c r="R33" s="2"/>
    </row>
    <row r="34" spans="10:18" x14ac:dyDescent="0.2">
      <c r="J34" s="2"/>
      <c r="K34" s="2"/>
      <c r="L34" s="2"/>
      <c r="M34" s="2"/>
      <c r="N34" s="2"/>
      <c r="O34" s="2"/>
      <c r="P34" s="2"/>
      <c r="Q34" s="2"/>
      <c r="R34" s="2"/>
    </row>
    <row r="35" spans="10:18" x14ac:dyDescent="0.2">
      <c r="J35" s="89"/>
      <c r="K35" s="2"/>
      <c r="L35" s="2"/>
      <c r="M35" s="2"/>
      <c r="N35" s="2"/>
      <c r="O35" s="2"/>
      <c r="P35" s="2"/>
      <c r="Q35" s="2"/>
      <c r="R35" s="2"/>
    </row>
    <row r="36" spans="10:18" x14ac:dyDescent="0.2">
      <c r="J36" s="2"/>
      <c r="K36" s="2"/>
      <c r="L36" s="2"/>
      <c r="M36" s="2"/>
      <c r="N36" s="2"/>
      <c r="O36" s="2"/>
      <c r="P36" s="2"/>
      <c r="Q36" s="2"/>
      <c r="R36" s="2"/>
    </row>
    <row r="37" spans="10:18" x14ac:dyDescent="0.2">
      <c r="J37" s="2"/>
      <c r="K37" s="2"/>
      <c r="L37" s="2"/>
      <c r="M37" s="2"/>
      <c r="N37" s="2"/>
      <c r="O37" s="2"/>
      <c r="P37" s="2"/>
      <c r="Q37" s="2"/>
      <c r="R37" s="2"/>
    </row>
    <row r="38" spans="10:18" x14ac:dyDescent="0.2">
      <c r="J38" s="2"/>
      <c r="K38" s="2"/>
      <c r="L38" s="2"/>
      <c r="M38" s="2"/>
      <c r="N38" s="2"/>
      <c r="O38" s="2"/>
      <c r="P38" s="2"/>
      <c r="Q38" s="2"/>
      <c r="R3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CBF-2163-784A-A5B7-DB57FBA67133}">
  <dimension ref="A1:T36"/>
  <sheetViews>
    <sheetView workbookViewId="0"/>
  </sheetViews>
  <sheetFormatPr baseColWidth="10" defaultRowHeight="16" outlineLevelCol="1" x14ac:dyDescent="0.2"/>
  <cols>
    <col min="2" max="2" width="13.83203125" bestFit="1" customWidth="1"/>
    <col min="7" max="7" width="11.5" customWidth="1"/>
    <col min="10" max="10" width="15.83203125" style="10" hidden="1" customWidth="1" outlineLevel="1"/>
    <col min="11" max="14" width="10.83203125" style="10" hidden="1" customWidth="1" outlineLevel="1"/>
    <col min="15" max="15" width="12" style="10" hidden="1" customWidth="1" outlineLevel="1"/>
    <col min="16" max="16" width="14.1640625" style="10" hidden="1" customWidth="1" outlineLevel="1"/>
    <col min="17" max="19" width="10.83203125" hidden="1" customWidth="1" outlineLevel="1"/>
    <col min="20" max="20" width="10.83203125" collapsed="1"/>
  </cols>
  <sheetData>
    <row r="1" spans="1:19" x14ac:dyDescent="0.2">
      <c r="A1" s="2" t="s">
        <v>0</v>
      </c>
      <c r="B1" s="1" t="s">
        <v>5</v>
      </c>
      <c r="C1" s="1" t="s">
        <v>30</v>
      </c>
      <c r="D1" s="1" t="s">
        <v>20</v>
      </c>
      <c r="I1" s="2" t="s">
        <v>2</v>
      </c>
      <c r="J1" s="2" t="s">
        <v>3</v>
      </c>
    </row>
    <row r="2" spans="1:19" x14ac:dyDescent="0.2">
      <c r="K2" s="22"/>
    </row>
    <row r="3" spans="1:19" x14ac:dyDescent="0.2">
      <c r="A3" s="5" t="s">
        <v>130</v>
      </c>
      <c r="B3" s="1"/>
      <c r="J3" s="31" t="s">
        <v>52</v>
      </c>
      <c r="K3" s="27"/>
      <c r="Q3" s="10"/>
      <c r="R3" s="10"/>
    </row>
    <row r="4" spans="1:19" x14ac:dyDescent="0.2">
      <c r="A4" s="5"/>
      <c r="B4" s="1"/>
      <c r="K4" s="27"/>
      <c r="Q4" s="10"/>
      <c r="R4" s="10"/>
    </row>
    <row r="5" spans="1:19" x14ac:dyDescent="0.2">
      <c r="A5" s="19" t="s">
        <v>32</v>
      </c>
      <c r="B5" s="19" t="s">
        <v>34</v>
      </c>
      <c r="C5" s="28"/>
      <c r="J5" s="10" t="s">
        <v>8</v>
      </c>
      <c r="K5" s="27" t="s">
        <v>54</v>
      </c>
      <c r="L5" s="10" t="s">
        <v>133</v>
      </c>
      <c r="M5" s="10" t="s">
        <v>55</v>
      </c>
      <c r="N5" s="10" t="s">
        <v>56</v>
      </c>
      <c r="O5" s="10" t="s">
        <v>57</v>
      </c>
      <c r="P5" s="10" t="s">
        <v>134</v>
      </c>
      <c r="Q5" s="10" t="s">
        <v>135</v>
      </c>
      <c r="R5" s="10"/>
      <c r="S5" s="10"/>
    </row>
    <row r="6" spans="1:19" x14ac:dyDescent="0.2">
      <c r="A6" s="20" t="s">
        <v>33</v>
      </c>
      <c r="B6" s="20" t="s">
        <v>131</v>
      </c>
      <c r="C6" s="28"/>
      <c r="J6" s="10">
        <v>2010</v>
      </c>
      <c r="K6" s="76">
        <f>B7</f>
        <v>8000</v>
      </c>
      <c r="L6" s="10">
        <v>1</v>
      </c>
      <c r="M6" s="10">
        <v>33</v>
      </c>
      <c r="N6" s="76">
        <f>M6-6</f>
        <v>27</v>
      </c>
      <c r="O6" s="27">
        <f>N6^$B$16/(N6^$B$16+$B$17^$B$16)*L6</f>
        <v>0.91380133777647654</v>
      </c>
      <c r="P6" s="27">
        <f>1/O6</f>
        <v>1.0943297614701111</v>
      </c>
      <c r="Q6" s="76">
        <f>K6*(P6-1)</f>
        <v>754.63809176088853</v>
      </c>
      <c r="R6" s="10"/>
      <c r="S6" s="10"/>
    </row>
    <row r="7" spans="1:19" x14ac:dyDescent="0.2">
      <c r="A7" s="21">
        <v>2010</v>
      </c>
      <c r="B7" s="95">
        <v>8000</v>
      </c>
      <c r="C7" s="62"/>
      <c r="J7" s="10">
        <v>2011</v>
      </c>
      <c r="K7" s="76">
        <f>B8</f>
        <v>6000</v>
      </c>
      <c r="L7" s="10">
        <v>1</v>
      </c>
      <c r="M7" s="10">
        <v>21</v>
      </c>
      <c r="N7" s="76">
        <f t="shared" ref="N7" si="0">M7-6</f>
        <v>15</v>
      </c>
      <c r="O7" s="27">
        <f t="shared" ref="O7:O8" si="1">N7^$B$16/(N7^$B$16+$B$17^$B$16)*L7</f>
        <v>0.82318212236958788</v>
      </c>
      <c r="P7" s="27">
        <f t="shared" ref="P7:P8" si="2">1/O7</f>
        <v>1.2147980049924181</v>
      </c>
      <c r="Q7" s="76">
        <f t="shared" ref="Q7:Q8" si="3">K7*(P7-1)</f>
        <v>1288.7880299545084</v>
      </c>
      <c r="R7" s="76"/>
      <c r="S7" s="32"/>
    </row>
    <row r="8" spans="1:19" x14ac:dyDescent="0.2">
      <c r="A8" s="21">
        <v>2011</v>
      </c>
      <c r="B8" s="95">
        <v>6000</v>
      </c>
      <c r="C8" s="62"/>
      <c r="J8" s="10">
        <v>2012</v>
      </c>
      <c r="K8" s="76">
        <f>B9</f>
        <v>3000</v>
      </c>
      <c r="L8" s="10">
        <v>0.75</v>
      </c>
      <c r="M8" s="10">
        <v>9</v>
      </c>
      <c r="N8" s="76">
        <f>M8/2</f>
        <v>4.5</v>
      </c>
      <c r="O8" s="27">
        <f t="shared" si="1"/>
        <v>0.34739290194636008</v>
      </c>
      <c r="P8" s="27">
        <f t="shared" si="2"/>
        <v>2.8785850096453816</v>
      </c>
      <c r="Q8" s="76">
        <f t="shared" si="3"/>
        <v>5635.7550289361443</v>
      </c>
      <c r="R8" s="76"/>
      <c r="S8" s="32"/>
    </row>
    <row r="9" spans="1:19" x14ac:dyDescent="0.2">
      <c r="A9" s="20">
        <v>2012</v>
      </c>
      <c r="B9" s="96">
        <v>3000</v>
      </c>
      <c r="C9" s="62"/>
      <c r="N9" s="27"/>
      <c r="O9" s="76"/>
      <c r="P9" s="76"/>
      <c r="Q9" s="27"/>
      <c r="R9" s="76"/>
      <c r="S9" s="32"/>
    </row>
    <row r="10" spans="1:19" x14ac:dyDescent="0.2">
      <c r="A10" s="28"/>
      <c r="B10" s="16"/>
      <c r="C10" s="16"/>
      <c r="D10" s="16"/>
      <c r="E10" s="16"/>
      <c r="J10" s="2" t="s">
        <v>136</v>
      </c>
      <c r="K10" s="33">
        <f>SUM(Q6:Q8)</f>
        <v>7679.1811506515414</v>
      </c>
      <c r="Q10" s="10"/>
      <c r="R10" s="10"/>
    </row>
    <row r="11" spans="1:19" x14ac:dyDescent="0.2">
      <c r="A11" s="6" t="s">
        <v>38</v>
      </c>
      <c r="B11" s="1"/>
      <c r="E11" s="8"/>
      <c r="Q11" s="10"/>
      <c r="R11" s="10"/>
    </row>
    <row r="12" spans="1:19" x14ac:dyDescent="0.2">
      <c r="A12" s="6" t="s">
        <v>39</v>
      </c>
      <c r="E12" s="7"/>
      <c r="Q12" s="10"/>
      <c r="R12" s="10"/>
    </row>
    <row r="13" spans="1:19" x14ac:dyDescent="0.2">
      <c r="A13" s="6"/>
      <c r="E13" s="7"/>
      <c r="Q13" s="10"/>
      <c r="R13" s="10"/>
    </row>
    <row r="14" spans="1:19" x14ac:dyDescent="0.2">
      <c r="A14" s="72" t="s">
        <v>40</v>
      </c>
      <c r="B14" s="19" t="s">
        <v>18</v>
      </c>
      <c r="C14" s="28"/>
      <c r="E14" s="7"/>
      <c r="Q14" s="10"/>
      <c r="R14" s="10"/>
    </row>
    <row r="15" spans="1:19" x14ac:dyDescent="0.2">
      <c r="A15" s="74" t="s">
        <v>41</v>
      </c>
      <c r="B15" s="20" t="s">
        <v>42</v>
      </c>
      <c r="C15" s="28"/>
      <c r="E15" s="7"/>
      <c r="J15" s="50"/>
      <c r="Q15" s="10"/>
      <c r="R15" s="10"/>
    </row>
    <row r="16" spans="1:19" x14ac:dyDescent="0.2">
      <c r="A16" s="73" t="s">
        <v>44</v>
      </c>
      <c r="B16" s="78">
        <v>1.4</v>
      </c>
      <c r="C16" s="67"/>
      <c r="E16" s="7"/>
      <c r="J16" s="50"/>
      <c r="Q16" s="10"/>
      <c r="R16" s="10"/>
    </row>
    <row r="17" spans="1:18" x14ac:dyDescent="0.2">
      <c r="A17" s="74" t="s">
        <v>45</v>
      </c>
      <c r="B17" s="79">
        <v>5</v>
      </c>
      <c r="C17" s="67"/>
      <c r="E17" s="7"/>
      <c r="L17" s="27"/>
      <c r="Q17" s="10"/>
      <c r="R17" s="10"/>
    </row>
    <row r="18" spans="1:18" x14ac:dyDescent="0.2">
      <c r="A18" s="6"/>
      <c r="E18" s="7"/>
      <c r="K18" s="22"/>
      <c r="O18" s="27"/>
      <c r="P18" s="39"/>
      <c r="Q18" s="10"/>
      <c r="R18" s="10"/>
    </row>
    <row r="19" spans="1:18" x14ac:dyDescent="0.2">
      <c r="A19" s="80" t="s">
        <v>132</v>
      </c>
      <c r="E19" s="7"/>
      <c r="K19" s="22"/>
      <c r="O19" s="27"/>
      <c r="P19" s="39"/>
      <c r="Q19" s="10"/>
      <c r="R19" s="10"/>
    </row>
    <row r="20" spans="1:18" x14ac:dyDescent="0.2">
      <c r="A20" s="6"/>
      <c r="E20" s="7"/>
      <c r="O20" s="27"/>
      <c r="Q20" s="10"/>
      <c r="R20" s="10"/>
    </row>
    <row r="21" spans="1:18" x14ac:dyDescent="0.2">
      <c r="A21" s="3"/>
      <c r="K21" s="22"/>
      <c r="O21" s="27"/>
      <c r="P21" s="27"/>
      <c r="Q21" s="39"/>
      <c r="R21" s="10"/>
    </row>
    <row r="22" spans="1:18" x14ac:dyDescent="0.2">
      <c r="K22" s="22"/>
      <c r="O22" s="27"/>
      <c r="P22" s="27"/>
      <c r="Q22" s="39"/>
      <c r="R22" s="10"/>
    </row>
    <row r="23" spans="1:18" x14ac:dyDescent="0.2">
      <c r="K23" s="22"/>
      <c r="O23" s="27"/>
      <c r="P23" s="27"/>
      <c r="Q23" s="39"/>
      <c r="R23" s="10"/>
    </row>
    <row r="24" spans="1:18" x14ac:dyDescent="0.2">
      <c r="Q24" s="10"/>
      <c r="R24" s="10"/>
    </row>
    <row r="25" spans="1:18" x14ac:dyDescent="0.2">
      <c r="K25" s="39"/>
      <c r="Q25" s="10"/>
      <c r="R25" s="10"/>
    </row>
    <row r="26" spans="1:18" x14ac:dyDescent="0.2">
      <c r="Q26" s="10"/>
      <c r="R26" s="10"/>
    </row>
    <row r="27" spans="1:18" x14ac:dyDescent="0.2">
      <c r="Q27" s="10"/>
      <c r="R27" s="10"/>
    </row>
    <row r="28" spans="1:18" x14ac:dyDescent="0.2">
      <c r="Q28" s="10"/>
      <c r="R28" s="10"/>
    </row>
    <row r="29" spans="1:18" x14ac:dyDescent="0.2">
      <c r="K29" s="23"/>
      <c r="Q29" s="10"/>
      <c r="R29" s="10"/>
    </row>
    <row r="30" spans="1:18" x14ac:dyDescent="0.2">
      <c r="Q30" s="10"/>
      <c r="R30" s="10"/>
    </row>
    <row r="31" spans="1:18" x14ac:dyDescent="0.2">
      <c r="J31" s="89"/>
      <c r="K31" s="2"/>
      <c r="L31" s="2"/>
      <c r="M31" s="2"/>
      <c r="N31" s="2"/>
      <c r="O31" s="2"/>
      <c r="P31" s="2"/>
      <c r="Q31" s="2"/>
      <c r="R31" s="2"/>
    </row>
    <row r="32" spans="1:18" x14ac:dyDescent="0.2">
      <c r="J32" s="2"/>
      <c r="K32" s="2"/>
      <c r="L32" s="2"/>
      <c r="M32" s="2"/>
      <c r="N32" s="2"/>
      <c r="O32" s="2"/>
      <c r="P32" s="2"/>
      <c r="Q32" s="2"/>
      <c r="R32" s="2"/>
    </row>
    <row r="33" spans="10:18" x14ac:dyDescent="0.2">
      <c r="J33" s="89"/>
      <c r="K33" s="2"/>
      <c r="L33" s="2"/>
      <c r="M33" s="2"/>
      <c r="N33" s="2"/>
      <c r="O33" s="2"/>
      <c r="P33" s="2"/>
      <c r="Q33" s="2"/>
      <c r="R33" s="2"/>
    </row>
    <row r="34" spans="10:18" x14ac:dyDescent="0.2">
      <c r="J34" s="2"/>
      <c r="K34" s="2"/>
      <c r="L34" s="2"/>
      <c r="M34" s="2"/>
      <c r="N34" s="2"/>
      <c r="O34" s="2"/>
      <c r="P34" s="2"/>
      <c r="Q34" s="2"/>
      <c r="R34" s="2"/>
    </row>
    <row r="35" spans="10:18" x14ac:dyDescent="0.2">
      <c r="J35" s="2"/>
      <c r="K35" s="2"/>
      <c r="L35" s="2"/>
      <c r="M35" s="2"/>
      <c r="N35" s="2"/>
      <c r="O35" s="2"/>
      <c r="P35" s="2"/>
      <c r="Q35" s="2"/>
      <c r="R35" s="2"/>
    </row>
    <row r="36" spans="10:18" x14ac:dyDescent="0.2">
      <c r="J36" s="2"/>
      <c r="K36" s="2"/>
      <c r="L36" s="2"/>
      <c r="M36" s="2"/>
      <c r="N36" s="2"/>
      <c r="O36" s="2"/>
      <c r="P36" s="2"/>
      <c r="Q36" s="2"/>
      <c r="R3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5913-69E4-534A-9C0F-50C41F6D764B}">
  <dimension ref="A1:Q90"/>
  <sheetViews>
    <sheetView workbookViewId="0"/>
  </sheetViews>
  <sheetFormatPr baseColWidth="10" defaultRowHeight="16" outlineLevelCol="1" x14ac:dyDescent="0.2"/>
  <cols>
    <col min="1" max="1" width="10.83203125" style="51"/>
    <col min="2" max="2" width="13.83203125" style="51" bestFit="1" customWidth="1"/>
    <col min="3" max="6" width="10.83203125" style="51"/>
    <col min="7" max="7" width="11.5" style="51" customWidth="1"/>
    <col min="8" max="9" width="10.83203125" style="51"/>
    <col min="10" max="16" width="10.83203125" style="51" hidden="1" customWidth="1" outlineLevel="1"/>
    <col min="17" max="17" width="10.83203125" style="51" collapsed="1"/>
    <col min="18" max="16384" width="10.83203125" style="51"/>
  </cols>
  <sheetData>
    <row r="1" spans="1:10" x14ac:dyDescent="0.2">
      <c r="A1" s="2" t="s">
        <v>0</v>
      </c>
      <c r="B1" s="40" t="s">
        <v>5</v>
      </c>
      <c r="C1" s="40" t="s">
        <v>30</v>
      </c>
      <c r="D1" s="40" t="s">
        <v>29</v>
      </c>
      <c r="I1" s="2" t="s">
        <v>28</v>
      </c>
      <c r="J1" s="56" t="s">
        <v>22</v>
      </c>
    </row>
    <row r="2" spans="1:10" x14ac:dyDescent="0.2">
      <c r="J2" s="54"/>
    </row>
    <row r="3" spans="1:10" x14ac:dyDescent="0.2">
      <c r="A3" s="52" t="s">
        <v>21</v>
      </c>
      <c r="J3" s="54" t="s">
        <v>158</v>
      </c>
    </row>
    <row r="4" spans="1:10" x14ac:dyDescent="0.2">
      <c r="J4" s="54" t="s">
        <v>159</v>
      </c>
    </row>
    <row r="5" spans="1:10" x14ac:dyDescent="0.2">
      <c r="A5" s="58" t="s">
        <v>137</v>
      </c>
      <c r="J5" s="54" t="s">
        <v>160</v>
      </c>
    </row>
    <row r="7" spans="1:10" x14ac:dyDescent="0.2">
      <c r="A7" s="52" t="s">
        <v>23</v>
      </c>
      <c r="D7" s="55"/>
      <c r="E7" s="57"/>
      <c r="J7" s="97" t="s">
        <v>27</v>
      </c>
    </row>
    <row r="8" spans="1:10" x14ac:dyDescent="0.2">
      <c r="D8" s="55"/>
      <c r="E8" s="57"/>
    </row>
    <row r="9" spans="1:10" x14ac:dyDescent="0.2">
      <c r="A9" s="59" t="s">
        <v>138</v>
      </c>
      <c r="E9" s="55"/>
      <c r="J9" s="59" t="s">
        <v>161</v>
      </c>
    </row>
    <row r="10" spans="1:10" x14ac:dyDescent="0.2">
      <c r="A10" s="51" t="s">
        <v>139</v>
      </c>
      <c r="J10" s="54" t="s">
        <v>162</v>
      </c>
    </row>
    <row r="11" spans="1:10" x14ac:dyDescent="0.2">
      <c r="J11" s="51" t="s">
        <v>163</v>
      </c>
    </row>
    <row r="12" spans="1:10" x14ac:dyDescent="0.2">
      <c r="A12" s="52" t="s">
        <v>24</v>
      </c>
      <c r="J12" s="54"/>
    </row>
    <row r="13" spans="1:10" x14ac:dyDescent="0.2">
      <c r="J13" s="52" t="s">
        <v>164</v>
      </c>
    </row>
    <row r="14" spans="1:10" x14ac:dyDescent="0.2">
      <c r="A14" s="59" t="s">
        <v>140</v>
      </c>
    </row>
    <row r="15" spans="1:10" x14ac:dyDescent="0.2">
      <c r="J15" s="54" t="s">
        <v>165</v>
      </c>
    </row>
    <row r="16" spans="1:10" x14ac:dyDescent="0.2">
      <c r="A16" s="52" t="s">
        <v>25</v>
      </c>
      <c r="J16" s="54" t="s">
        <v>166</v>
      </c>
    </row>
    <row r="17" spans="1:11" x14ac:dyDescent="0.2">
      <c r="J17" s="53"/>
    </row>
    <row r="18" spans="1:11" x14ac:dyDescent="0.2">
      <c r="A18" s="59" t="s">
        <v>141</v>
      </c>
      <c r="J18" s="52" t="s">
        <v>167</v>
      </c>
    </row>
    <row r="19" spans="1:11" x14ac:dyDescent="0.2">
      <c r="A19" s="51" t="s">
        <v>142</v>
      </c>
      <c r="J19" s="59"/>
    </row>
    <row r="20" spans="1:11" x14ac:dyDescent="0.2">
      <c r="J20" s="54" t="s">
        <v>168</v>
      </c>
    </row>
    <row r="21" spans="1:11" x14ac:dyDescent="0.2">
      <c r="A21" s="52" t="s">
        <v>26</v>
      </c>
      <c r="J21" s="54" t="s">
        <v>169</v>
      </c>
    </row>
    <row r="23" spans="1:11" x14ac:dyDescent="0.2">
      <c r="A23" s="59" t="s">
        <v>143</v>
      </c>
      <c r="J23" s="54" t="s">
        <v>170</v>
      </c>
    </row>
    <row r="24" spans="1:11" x14ac:dyDescent="0.2">
      <c r="J24" s="54" t="s">
        <v>171</v>
      </c>
    </row>
    <row r="25" spans="1:11" x14ac:dyDescent="0.2">
      <c r="A25" s="52" t="s">
        <v>144</v>
      </c>
    </row>
    <row r="26" spans="1:11" x14ac:dyDescent="0.2">
      <c r="J26" s="52" t="s">
        <v>172</v>
      </c>
      <c r="K26" s="59"/>
    </row>
    <row r="27" spans="1:11" x14ac:dyDescent="0.2">
      <c r="A27" s="59" t="s">
        <v>145</v>
      </c>
    </row>
    <row r="28" spans="1:11" x14ac:dyDescent="0.2">
      <c r="J28" s="59" t="s">
        <v>173</v>
      </c>
    </row>
    <row r="29" spans="1:11" x14ac:dyDescent="0.2">
      <c r="A29" s="52" t="s">
        <v>146</v>
      </c>
    </row>
    <row r="30" spans="1:11" x14ac:dyDescent="0.2">
      <c r="K30" s="59" t="s">
        <v>174</v>
      </c>
    </row>
    <row r="31" spans="1:11" x14ac:dyDescent="0.2">
      <c r="A31" s="59" t="s">
        <v>147</v>
      </c>
    </row>
    <row r="32" spans="1:11" x14ac:dyDescent="0.2">
      <c r="K32" s="59" t="s">
        <v>175</v>
      </c>
    </row>
    <row r="33" spans="1:11" x14ac:dyDescent="0.2">
      <c r="A33" s="52" t="s">
        <v>148</v>
      </c>
      <c r="K33" s="59" t="s">
        <v>176</v>
      </c>
    </row>
    <row r="35" spans="1:11" x14ac:dyDescent="0.2">
      <c r="A35" s="59" t="s">
        <v>149</v>
      </c>
      <c r="J35" s="59" t="s">
        <v>177</v>
      </c>
    </row>
    <row r="36" spans="1:11" x14ac:dyDescent="0.2">
      <c r="A36" s="51" t="s">
        <v>150</v>
      </c>
    </row>
    <row r="37" spans="1:11" x14ac:dyDescent="0.2">
      <c r="K37" s="59" t="s">
        <v>180</v>
      </c>
    </row>
    <row r="38" spans="1:11" x14ac:dyDescent="0.2">
      <c r="A38" s="52" t="s">
        <v>151</v>
      </c>
      <c r="K38" s="51" t="s">
        <v>178</v>
      </c>
    </row>
    <row r="39" spans="1:11" x14ac:dyDescent="0.2">
      <c r="K39" s="51" t="s">
        <v>179</v>
      </c>
    </row>
    <row r="40" spans="1:11" x14ac:dyDescent="0.2">
      <c r="A40" s="59" t="s">
        <v>152</v>
      </c>
      <c r="K40" s="51" t="s">
        <v>181</v>
      </c>
    </row>
    <row r="41" spans="1:11" x14ac:dyDescent="0.2">
      <c r="A41" s="51" t="s">
        <v>153</v>
      </c>
    </row>
    <row r="42" spans="1:11" x14ac:dyDescent="0.2">
      <c r="J42" s="59" t="s">
        <v>182</v>
      </c>
    </row>
    <row r="43" spans="1:11" x14ac:dyDescent="0.2">
      <c r="A43" s="40" t="s">
        <v>12</v>
      </c>
      <c r="B43" s="59" t="s">
        <v>154</v>
      </c>
      <c r="J43" s="51" t="s">
        <v>183</v>
      </c>
    </row>
    <row r="44" spans="1:11" x14ac:dyDescent="0.2">
      <c r="A44" s="40"/>
      <c r="B44" s="51" t="s">
        <v>155</v>
      </c>
    </row>
    <row r="45" spans="1:11" x14ac:dyDescent="0.2">
      <c r="A45" s="40"/>
      <c r="K45" s="59" t="s">
        <v>184</v>
      </c>
    </row>
    <row r="46" spans="1:11" x14ac:dyDescent="0.2">
      <c r="A46" s="40" t="s">
        <v>1</v>
      </c>
      <c r="B46" s="59" t="s">
        <v>156</v>
      </c>
      <c r="K46" s="51" t="s">
        <v>185</v>
      </c>
    </row>
    <row r="47" spans="1:11" x14ac:dyDescent="0.2">
      <c r="B47" s="51" t="s">
        <v>157</v>
      </c>
    </row>
    <row r="48" spans="1:11" x14ac:dyDescent="0.2">
      <c r="K48" s="59" t="s">
        <v>186</v>
      </c>
    </row>
    <row r="49" spans="10:11" x14ac:dyDescent="0.2">
      <c r="K49" s="51" t="s">
        <v>187</v>
      </c>
    </row>
    <row r="51" spans="10:11" x14ac:dyDescent="0.2">
      <c r="J51" s="52" t="s">
        <v>188</v>
      </c>
    </row>
    <row r="53" spans="10:11" x14ac:dyDescent="0.2">
      <c r="J53" s="59" t="s">
        <v>189</v>
      </c>
    </row>
    <row r="55" spans="10:11" x14ac:dyDescent="0.2">
      <c r="K55" s="54" t="s">
        <v>190</v>
      </c>
    </row>
    <row r="56" spans="10:11" x14ac:dyDescent="0.2">
      <c r="K56" s="51" t="s">
        <v>191</v>
      </c>
    </row>
    <row r="58" spans="10:11" x14ac:dyDescent="0.2">
      <c r="K58" s="54" t="s">
        <v>192</v>
      </c>
    </row>
    <row r="59" spans="10:11" x14ac:dyDescent="0.2">
      <c r="K59" s="51" t="s">
        <v>194</v>
      </c>
    </row>
    <row r="60" spans="10:11" x14ac:dyDescent="0.2">
      <c r="K60" s="51" t="s">
        <v>193</v>
      </c>
    </row>
    <row r="62" spans="10:11" x14ac:dyDescent="0.2">
      <c r="K62" s="54" t="s">
        <v>195</v>
      </c>
    </row>
    <row r="63" spans="10:11" x14ac:dyDescent="0.2">
      <c r="K63" s="51" t="s">
        <v>196</v>
      </c>
    </row>
    <row r="65" spans="10:10" x14ac:dyDescent="0.2">
      <c r="J65" s="52" t="s">
        <v>197</v>
      </c>
    </row>
    <row r="67" spans="10:10" x14ac:dyDescent="0.2">
      <c r="J67" s="59" t="s">
        <v>198</v>
      </c>
    </row>
    <row r="68" spans="10:10" x14ac:dyDescent="0.2">
      <c r="J68" s="51" t="s">
        <v>199</v>
      </c>
    </row>
    <row r="70" spans="10:10" x14ac:dyDescent="0.2">
      <c r="J70" s="52" t="s">
        <v>200</v>
      </c>
    </row>
    <row r="72" spans="10:10" x14ac:dyDescent="0.2">
      <c r="J72" s="59" t="s">
        <v>201</v>
      </c>
    </row>
    <row r="73" spans="10:10" x14ac:dyDescent="0.2">
      <c r="J73" s="51" t="s">
        <v>202</v>
      </c>
    </row>
    <row r="75" spans="10:10" x14ac:dyDescent="0.2">
      <c r="J75" s="59" t="s">
        <v>203</v>
      </c>
    </row>
    <row r="76" spans="10:10" x14ac:dyDescent="0.2">
      <c r="J76" s="51" t="s">
        <v>204</v>
      </c>
    </row>
    <row r="77" spans="10:10" x14ac:dyDescent="0.2">
      <c r="J77" s="51" t="s">
        <v>205</v>
      </c>
    </row>
    <row r="79" spans="10:10" x14ac:dyDescent="0.2">
      <c r="J79" s="52" t="s">
        <v>206</v>
      </c>
    </row>
    <row r="81" spans="10:10" x14ac:dyDescent="0.2">
      <c r="J81" s="53" t="s">
        <v>3</v>
      </c>
    </row>
    <row r="83" spans="10:10" x14ac:dyDescent="0.2">
      <c r="J83" s="59" t="s">
        <v>207</v>
      </c>
    </row>
    <row r="84" spans="10:10" x14ac:dyDescent="0.2">
      <c r="J84" s="51" t="s">
        <v>208</v>
      </c>
    </row>
    <row r="86" spans="10:10" x14ac:dyDescent="0.2">
      <c r="J86" s="53" t="s">
        <v>4</v>
      </c>
    </row>
    <row r="88" spans="10:10" x14ac:dyDescent="0.2">
      <c r="J88" s="59" t="s">
        <v>209</v>
      </c>
    </row>
    <row r="89" spans="10:10" x14ac:dyDescent="0.2">
      <c r="J89" s="51" t="s">
        <v>210</v>
      </c>
    </row>
    <row r="90" spans="10:10" x14ac:dyDescent="0.2">
      <c r="J90" s="5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MP #1</vt:lpstr>
      <vt:lpstr>MP #2</vt:lpstr>
      <vt:lpstr>MP #3</vt:lpstr>
      <vt:lpstr>MP #4</vt:lpstr>
      <vt:lpstr>MP #5</vt:lpstr>
      <vt:lpstr>MP #6</vt:lpstr>
      <vt:lpstr>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Mcphail</cp:lastModifiedBy>
  <dcterms:created xsi:type="dcterms:W3CDTF">2020-09-04T21:09:46Z</dcterms:created>
  <dcterms:modified xsi:type="dcterms:W3CDTF">2021-01-02T19:28:14Z</dcterms:modified>
</cp:coreProperties>
</file>