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codeName="ThisWorkbook" defaultThemeVersion="166925"/>
  <mc:AlternateContent xmlns:mc="http://schemas.openxmlformats.org/markup-compatibility/2006">
    <mc:Choice Requires="x15">
      <x15ac:absPath xmlns:x15ac="http://schemas.microsoft.com/office/spreadsheetml/2010/11/ac" url="/Users/stephenroll/Rising Fellow Dropbox/Rising Fellow/_Products/Exam 5/_Cookbook/_FINAL PDFs/2024 - Spring/"/>
    </mc:Choice>
  </mc:AlternateContent>
  <xr:revisionPtr revIDLastSave="0" documentId="13_ncr:1_{72A6158A-C20F-EA49-92E2-7A590D0EF827}" xr6:coauthVersionLast="47" xr6:coauthVersionMax="47" xr10:uidLastSave="{00000000-0000-0000-0000-000000000000}"/>
  <bookViews>
    <workbookView xWindow="0" yWindow="760" windowWidth="16920" windowHeight="18880" xr2:uid="{EAE673BC-61EE-CB4B-B7A5-6938429B2EB8}"/>
  </bookViews>
  <sheets>
    <sheet name="Agg. Exposures" sheetId="9" r:id="rId1"/>
    <sheet name="Agg. Exposures - Blocks" sheetId="13" r:id="rId2"/>
    <sheet name="Uneven Earning Pattern" sheetId="15" r:id="rId3"/>
    <sheet name="Extension of Exposures" sheetId="5" r:id="rId4"/>
    <sheet name="Parallelogram Method" sheetId="14" r:id="rId5"/>
    <sheet name="Premium Development" sheetId="17" r:id="rId6"/>
    <sheet name="1-Step Premium Trend" sheetId="18" r:id="rId7"/>
    <sheet name="2-Step Premium Trend" sheetId="19" r:id="rId8"/>
    <sheet name="Loss Aggregation" sheetId="20" r:id="rId9"/>
    <sheet name="Extraordinary Losses" sheetId="12" r:id="rId10"/>
    <sheet name="Loss Ratio Method" sheetId="2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20" l="1"/>
  <c r="G236" i="29"/>
  <c r="G229" i="29"/>
  <c r="G220" i="29"/>
  <c r="I74" i="12" l="1"/>
  <c r="F55" i="12"/>
  <c r="D102" i="20"/>
  <c r="F102" i="20"/>
  <c r="E102" i="20"/>
  <c r="I87" i="20"/>
  <c r="I75" i="20"/>
  <c r="I45" i="20"/>
  <c r="F91" i="18" l="1"/>
  <c r="G91" i="18"/>
  <c r="D39" i="17" l="1"/>
  <c r="D40" i="17"/>
  <c r="F46" i="5"/>
  <c r="D70" i="5"/>
  <c r="E109" i="9" l="1"/>
  <c r="D105" i="9"/>
  <c r="D92" i="9"/>
  <c r="D90" i="9"/>
  <c r="E52" i="9"/>
  <c r="G43" i="13"/>
  <c r="F119" i="19" l="1"/>
  <c r="I35" i="19"/>
  <c r="F247" i="29"/>
  <c r="G250" i="29" s="1"/>
  <c r="C197" i="29"/>
  <c r="C196" i="29"/>
  <c r="C195" i="29"/>
  <c r="C194" i="29"/>
  <c r="C193" i="29"/>
  <c r="C179" i="29"/>
  <c r="E179" i="29"/>
  <c r="E180" i="29"/>
  <c r="E182" i="29"/>
  <c r="E183" i="29"/>
  <c r="G183" i="29"/>
  <c r="G182" i="29"/>
  <c r="G181" i="29"/>
  <c r="G180" i="29"/>
  <c r="G179" i="29"/>
  <c r="E181" i="29"/>
  <c r="D183" i="29"/>
  <c r="D182" i="29"/>
  <c r="D181" i="29"/>
  <c r="D180" i="29"/>
  <c r="D179" i="29"/>
  <c r="C183" i="29"/>
  <c r="C182" i="29"/>
  <c r="C181" i="29"/>
  <c r="C180" i="29"/>
  <c r="C166" i="29"/>
  <c r="D170" i="29"/>
  <c r="H170" i="29" s="1"/>
  <c r="D169" i="29"/>
  <c r="D168" i="29"/>
  <c r="D167" i="29"/>
  <c r="F170" i="29"/>
  <c r="F169" i="29"/>
  <c r="F168" i="29"/>
  <c r="F167" i="29"/>
  <c r="F166" i="29"/>
  <c r="D166" i="29"/>
  <c r="C170" i="29"/>
  <c r="C169" i="29"/>
  <c r="C168" i="29"/>
  <c r="C167" i="29"/>
  <c r="C139" i="29"/>
  <c r="D184" i="29" l="1"/>
  <c r="E169" i="29"/>
  <c r="E168" i="29" s="1"/>
  <c r="E167" i="29" s="1"/>
  <c r="E166" i="29" s="1"/>
  <c r="G117" i="29"/>
  <c r="G118" i="29" s="1"/>
  <c r="H169" i="29" l="1"/>
  <c r="F182" i="29" s="1"/>
  <c r="H182" i="29" s="1"/>
  <c r="H166" i="29"/>
  <c r="F179" i="29" s="1"/>
  <c r="H179" i="29" s="1"/>
  <c r="H167" i="29"/>
  <c r="F180" i="29" s="1"/>
  <c r="H180" i="29" s="1"/>
  <c r="H168" i="29"/>
  <c r="F181" i="29" s="1"/>
  <c r="H181" i="29" s="1"/>
  <c r="F183" i="29"/>
  <c r="H183" i="29" s="1"/>
  <c r="H141" i="29" l="1"/>
  <c r="E143" i="29"/>
  <c r="E142" i="29"/>
  <c r="E141" i="29"/>
  <c r="E140" i="29"/>
  <c r="E139" i="29"/>
  <c r="C143" i="29"/>
  <c r="C142" i="29"/>
  <c r="C141" i="29"/>
  <c r="C140" i="29"/>
  <c r="G101" i="29"/>
  <c r="H101" i="29" s="1"/>
  <c r="F101" i="29"/>
  <c r="E101" i="29" s="1"/>
  <c r="I102" i="29"/>
  <c r="H102" i="29"/>
  <c r="E100" i="29"/>
  <c r="D100" i="29"/>
  <c r="C99" i="29"/>
  <c r="C104" i="29"/>
  <c r="B103" i="29"/>
  <c r="B102" i="29"/>
  <c r="B101" i="29"/>
  <c r="B100" i="29"/>
  <c r="B99" i="29"/>
  <c r="I63" i="29"/>
  <c r="I64" i="29" s="1"/>
  <c r="E104" i="29" s="1"/>
  <c r="H69" i="29"/>
  <c r="H68" i="29"/>
  <c r="H66" i="29"/>
  <c r="H67" i="29" s="1"/>
  <c r="H65" i="29"/>
  <c r="H184" i="29" s="1"/>
  <c r="H64" i="29"/>
  <c r="H63" i="29"/>
  <c r="E144" i="29" l="1"/>
  <c r="H143" i="29"/>
  <c r="H142" i="29"/>
  <c r="H139" i="29"/>
  <c r="H140" i="29"/>
  <c r="D99" i="29"/>
  <c r="D104" i="29"/>
  <c r="I65" i="29"/>
  <c r="I66" i="29"/>
  <c r="G104" i="29" s="1"/>
  <c r="I67" i="29" l="1"/>
  <c r="F104" i="29"/>
  <c r="I68" i="29" l="1"/>
  <c r="H104" i="29"/>
  <c r="I69" i="29" l="1"/>
  <c r="J104" i="29" s="1"/>
  <c r="I104" i="29"/>
  <c r="K99" i="29" l="1"/>
  <c r="L99" i="29" s="1"/>
  <c r="K100" i="29"/>
  <c r="L100" i="29" s="1"/>
  <c r="D140" i="29" s="1"/>
  <c r="K101" i="29"/>
  <c r="L101" i="29" s="1"/>
  <c r="D141" i="29" s="1"/>
  <c r="K103" i="29"/>
  <c r="L103" i="29" s="1"/>
  <c r="D143" i="29" s="1"/>
  <c r="K102" i="29"/>
  <c r="L102" i="29" s="1"/>
  <c r="D142" i="29" s="1"/>
  <c r="D139" i="29" l="1"/>
  <c r="D144" i="29" s="1"/>
  <c r="F144" i="29" s="1"/>
  <c r="F141" i="29" l="1"/>
  <c r="G141" i="29" s="1"/>
  <c r="F140" i="29"/>
  <c r="G140" i="29" s="1"/>
  <c r="F143" i="29"/>
  <c r="G143" i="29" s="1"/>
  <c r="F139" i="29"/>
  <c r="G139" i="29" s="1"/>
  <c r="F142" i="29"/>
  <c r="G142" i="29" s="1"/>
  <c r="I142" i="29" l="1"/>
  <c r="D196" i="29" s="1"/>
  <c r="I139" i="29"/>
  <c r="I143" i="29"/>
  <c r="D197" i="29" s="1"/>
  <c r="I140" i="29"/>
  <c r="D194" i="29" s="1"/>
  <c r="I141" i="29"/>
  <c r="D195" i="29" s="1"/>
  <c r="D193" i="29" l="1"/>
  <c r="I144" i="29"/>
  <c r="D198" i="29" s="1"/>
  <c r="D200" i="29" s="1"/>
  <c r="G210" i="29" s="1"/>
  <c r="G257" i="29" s="1"/>
  <c r="E59" i="12" l="1"/>
  <c r="C91" i="12" l="1"/>
  <c r="C90" i="12"/>
  <c r="C89" i="12"/>
  <c r="C88" i="12"/>
  <c r="C87" i="12"/>
  <c r="E56" i="12" l="1"/>
  <c r="F59" i="12"/>
  <c r="D69" i="12"/>
  <c r="D68" i="12"/>
  <c r="D67" i="12"/>
  <c r="D66" i="12"/>
  <c r="D65" i="12"/>
  <c r="D64" i="12"/>
  <c r="D63" i="12"/>
  <c r="D62" i="12"/>
  <c r="D61" i="12"/>
  <c r="D60" i="12"/>
  <c r="D59" i="12"/>
  <c r="D58" i="12"/>
  <c r="D57" i="12"/>
  <c r="D56" i="12"/>
  <c r="D55" i="12"/>
  <c r="F69" i="12"/>
  <c r="E69" i="12"/>
  <c r="F68" i="12"/>
  <c r="E68" i="12"/>
  <c r="F67" i="12"/>
  <c r="E67" i="12"/>
  <c r="F66" i="12"/>
  <c r="E66" i="12"/>
  <c r="F65" i="12"/>
  <c r="E65" i="12"/>
  <c r="F64" i="12"/>
  <c r="E64" i="12"/>
  <c r="F63" i="12"/>
  <c r="E63" i="12"/>
  <c r="F62" i="12"/>
  <c r="E62" i="12"/>
  <c r="F61" i="12"/>
  <c r="E61" i="12"/>
  <c r="F60" i="12"/>
  <c r="E60" i="12"/>
  <c r="F58" i="12"/>
  <c r="E58" i="12"/>
  <c r="F57" i="12"/>
  <c r="E57" i="12"/>
  <c r="F56" i="12"/>
  <c r="E55" i="12"/>
  <c r="G59" i="12" l="1"/>
  <c r="G63" i="12"/>
  <c r="G67" i="12"/>
  <c r="H67" i="12" s="1"/>
  <c r="G56" i="12"/>
  <c r="G66" i="12"/>
  <c r="H66" i="12" s="1"/>
  <c r="G62" i="12"/>
  <c r="H62" i="12" s="1"/>
  <c r="I62" i="12" s="1"/>
  <c r="G55" i="12"/>
  <c r="G61" i="12"/>
  <c r="H61" i="12" s="1"/>
  <c r="I61" i="12" s="1"/>
  <c r="G64" i="12"/>
  <c r="H64" i="12" s="1"/>
  <c r="I64" i="12" s="1"/>
  <c r="G69" i="12"/>
  <c r="H69" i="12" s="1"/>
  <c r="D91" i="12" s="1"/>
  <c r="H63" i="12"/>
  <c r="I63" i="12" s="1"/>
  <c r="G58" i="12"/>
  <c r="H58" i="12" s="1"/>
  <c r="I58" i="12" s="1"/>
  <c r="G68" i="12"/>
  <c r="H68" i="12" s="1"/>
  <c r="G65" i="12"/>
  <c r="H65" i="12" s="1"/>
  <c r="G60" i="12"/>
  <c r="H60" i="12" s="1"/>
  <c r="G57" i="12"/>
  <c r="H57" i="12" s="1"/>
  <c r="H59" i="12"/>
  <c r="I59" i="12" s="1"/>
  <c r="H55" i="12" l="1"/>
  <c r="I55" i="12" s="1"/>
  <c r="I65" i="12"/>
  <c r="D87" i="12"/>
  <c r="I68" i="12"/>
  <c r="D90" i="12"/>
  <c r="I66" i="12"/>
  <c r="D88" i="12"/>
  <c r="I67" i="12"/>
  <c r="D89" i="12"/>
  <c r="I69" i="12"/>
  <c r="I57" i="12"/>
  <c r="H56" i="12"/>
  <c r="I56" i="12" s="1"/>
  <c r="I60" i="12"/>
  <c r="E88" i="12" l="1"/>
  <c r="F88" i="12" s="1"/>
  <c r="E87" i="12"/>
  <c r="F87" i="12" s="1"/>
  <c r="E91" i="12"/>
  <c r="F91" i="12" s="1"/>
  <c r="E90" i="12"/>
  <c r="F90" i="12" s="1"/>
  <c r="E89" i="12"/>
  <c r="F89" i="12" s="1"/>
  <c r="G102" i="20" l="1"/>
  <c r="F103" i="20"/>
  <c r="E103" i="20"/>
  <c r="D103" i="20"/>
  <c r="F20" i="20" l="1"/>
  <c r="F17" i="20"/>
  <c r="F13" i="20"/>
  <c r="F9" i="20"/>
  <c r="F117" i="19" l="1"/>
  <c r="G62" i="19"/>
  <c r="I83" i="19" l="1"/>
  <c r="F95" i="19" s="1"/>
  <c r="D98" i="19"/>
  <c r="C98" i="19"/>
  <c r="D97" i="19"/>
  <c r="C97" i="19"/>
  <c r="D96" i="19"/>
  <c r="C96" i="19"/>
  <c r="D95" i="19"/>
  <c r="C95" i="19"/>
  <c r="D94" i="19"/>
  <c r="C94" i="19"/>
  <c r="E52" i="19"/>
  <c r="D52" i="19"/>
  <c r="E51" i="19"/>
  <c r="D51" i="19"/>
  <c r="C51" i="19"/>
  <c r="E50" i="19"/>
  <c r="D50" i="19"/>
  <c r="C50" i="19"/>
  <c r="E49" i="19"/>
  <c r="D49" i="19"/>
  <c r="C49" i="19"/>
  <c r="E48" i="19"/>
  <c r="D48" i="19"/>
  <c r="F48" i="19" s="1"/>
  <c r="C48" i="19"/>
  <c r="C52" i="19"/>
  <c r="E51" i="18"/>
  <c r="E52" i="18"/>
  <c r="F94" i="19" l="1"/>
  <c r="F98" i="19"/>
  <c r="F97" i="19"/>
  <c r="F96" i="19"/>
  <c r="F51" i="19"/>
  <c r="G51" i="19" s="1"/>
  <c r="E97" i="19" s="1"/>
  <c r="G48" i="19"/>
  <c r="E94" i="19" s="1"/>
  <c r="F49" i="19"/>
  <c r="G49" i="19" s="1"/>
  <c r="E95" i="19" s="1"/>
  <c r="G95" i="19" s="1"/>
  <c r="F52" i="19"/>
  <c r="G52" i="19" s="1"/>
  <c r="E98" i="19" s="1"/>
  <c r="F50" i="19"/>
  <c r="G50" i="19" s="1"/>
  <c r="E96" i="19" s="1"/>
  <c r="G97" i="19" l="1"/>
  <c r="G98" i="19"/>
  <c r="G94" i="19"/>
  <c r="G96" i="19"/>
  <c r="D91" i="18"/>
  <c r="D92" i="18"/>
  <c r="D93" i="18"/>
  <c r="F93" i="18"/>
  <c r="E92" i="18"/>
  <c r="E57" i="18"/>
  <c r="D57" i="18"/>
  <c r="C57" i="18"/>
  <c r="E56" i="18"/>
  <c r="D56" i="18"/>
  <c r="C56" i="18"/>
  <c r="E55" i="18"/>
  <c r="D55" i="18"/>
  <c r="C55" i="18"/>
  <c r="E54" i="18"/>
  <c r="D54" i="18"/>
  <c r="C54" i="18"/>
  <c r="E53" i="18"/>
  <c r="D53" i="18"/>
  <c r="C53" i="18"/>
  <c r="D52" i="18"/>
  <c r="C52" i="18"/>
  <c r="D51" i="18"/>
  <c r="C51" i="18"/>
  <c r="E50" i="18"/>
  <c r="D50" i="18"/>
  <c r="C50" i="18"/>
  <c r="E49" i="18"/>
  <c r="D49" i="18"/>
  <c r="C49" i="18"/>
  <c r="E48" i="18"/>
  <c r="D48" i="18"/>
  <c r="C48" i="18"/>
  <c r="E47" i="18"/>
  <c r="D47" i="18"/>
  <c r="C47" i="18"/>
  <c r="E46" i="18"/>
  <c r="D46" i="18"/>
  <c r="C46" i="18"/>
  <c r="F92" i="18" l="1"/>
  <c r="E91" i="18"/>
  <c r="F46" i="18"/>
  <c r="F54" i="18"/>
  <c r="G92" i="18"/>
  <c r="G93" i="18"/>
  <c r="F47" i="18"/>
  <c r="F55" i="18"/>
  <c r="F50" i="18"/>
  <c r="F56" i="18"/>
  <c r="F48" i="18"/>
  <c r="F51" i="18"/>
  <c r="F49" i="18"/>
  <c r="F57" i="18"/>
  <c r="F53" i="18"/>
  <c r="F52" i="18"/>
  <c r="G51" i="18" l="1"/>
  <c r="G50" i="18"/>
  <c r="G52" i="18"/>
  <c r="G55" i="18"/>
  <c r="G53" i="18"/>
  <c r="G56" i="18"/>
  <c r="G54" i="18"/>
  <c r="G57" i="18"/>
  <c r="D66" i="17"/>
  <c r="D65" i="17"/>
  <c r="D64" i="17"/>
  <c r="D63" i="17"/>
  <c r="D62" i="17"/>
  <c r="F62" i="17" s="1"/>
  <c r="F52" i="17"/>
  <c r="E52" i="17" s="1"/>
  <c r="D52" i="17" s="1"/>
  <c r="D35" i="17"/>
  <c r="E40" i="17"/>
  <c r="D37" i="17"/>
  <c r="D36" i="17"/>
  <c r="D34" i="17"/>
  <c r="F63" i="17"/>
  <c r="F40" i="17"/>
  <c r="E64" i="17" s="1"/>
  <c r="E36" i="17"/>
  <c r="F35" i="17"/>
  <c r="E35" i="17"/>
  <c r="F34" i="17"/>
  <c r="E34" i="17"/>
  <c r="G59" i="18" l="1"/>
  <c r="E39" i="17"/>
  <c r="F64" i="17"/>
  <c r="E65" i="17"/>
  <c r="F65" i="17" s="1"/>
  <c r="F39" i="17"/>
  <c r="E66" i="17" l="1"/>
  <c r="F66" i="17" s="1"/>
  <c r="F73" i="13" l="1"/>
  <c r="D70" i="13"/>
  <c r="E71" i="13"/>
  <c r="G71" i="13" s="1"/>
  <c r="E72" i="13"/>
  <c r="E73" i="13"/>
  <c r="E74" i="13"/>
  <c r="E75" i="13"/>
  <c r="E76" i="13"/>
  <c r="E77" i="13"/>
  <c r="E78" i="13"/>
  <c r="E79" i="13"/>
  <c r="E80" i="13"/>
  <c r="E81" i="13"/>
  <c r="E70" i="13"/>
  <c r="G70" i="13" s="1"/>
  <c r="C71" i="13"/>
  <c r="C72" i="13"/>
  <c r="C73" i="13"/>
  <c r="C74" i="13"/>
  <c r="C75" i="13"/>
  <c r="C76" i="13"/>
  <c r="C77" i="13"/>
  <c r="C78" i="13"/>
  <c r="C79" i="13"/>
  <c r="C80" i="13"/>
  <c r="C81" i="13"/>
  <c r="C70" i="13"/>
  <c r="F43" i="13"/>
  <c r="E44" i="13"/>
  <c r="E45" i="13"/>
  <c r="E46" i="13"/>
  <c r="E47" i="13"/>
  <c r="E48" i="13"/>
  <c r="E49" i="13"/>
  <c r="E50" i="13"/>
  <c r="E51" i="13"/>
  <c r="E52" i="13"/>
  <c r="E53" i="13"/>
  <c r="E54" i="13"/>
  <c r="E43" i="13"/>
  <c r="D44" i="13"/>
  <c r="D45" i="13" s="1"/>
  <c r="D46" i="13" s="1"/>
  <c r="D47" i="13" s="1"/>
  <c r="D48" i="13" s="1"/>
  <c r="D49" i="13" s="1"/>
  <c r="D50" i="13" s="1"/>
  <c r="D51" i="13" s="1"/>
  <c r="D52" i="13" s="1"/>
  <c r="D53" i="13" s="1"/>
  <c r="D54" i="13" s="1"/>
  <c r="D81" i="13" s="1"/>
  <c r="C44" i="13"/>
  <c r="C45" i="13"/>
  <c r="C46" i="13"/>
  <c r="C47" i="13"/>
  <c r="C48" i="13"/>
  <c r="C49" i="13"/>
  <c r="C50" i="13"/>
  <c r="C51" i="13"/>
  <c r="C52" i="13"/>
  <c r="C53" i="13"/>
  <c r="C54" i="13"/>
  <c r="C43" i="13"/>
  <c r="D78" i="13" l="1"/>
  <c r="D71" i="13"/>
  <c r="D79" i="13"/>
  <c r="D75" i="13"/>
  <c r="D76" i="13"/>
  <c r="D77" i="13"/>
  <c r="D72" i="13"/>
  <c r="D80" i="13"/>
  <c r="D73" i="13"/>
  <c r="D74" i="13"/>
  <c r="F44" i="13"/>
  <c r="E76" i="15"/>
  <c r="F76" i="15" s="1"/>
  <c r="E75" i="15"/>
  <c r="F75" i="15" s="1"/>
  <c r="E74" i="15"/>
  <c r="F74" i="15" s="1"/>
  <c r="E73" i="15"/>
  <c r="E72" i="15"/>
  <c r="F72" i="15" s="1"/>
  <c r="E71" i="15"/>
  <c r="F71" i="15" s="1"/>
  <c r="E70" i="15"/>
  <c r="F70" i="15" s="1"/>
  <c r="E69" i="15"/>
  <c r="C76" i="15"/>
  <c r="C75" i="15"/>
  <c r="C74" i="15"/>
  <c r="C73" i="15"/>
  <c r="C72" i="15"/>
  <c r="C71" i="15"/>
  <c r="C70" i="15"/>
  <c r="C69" i="15"/>
  <c r="C45" i="15"/>
  <c r="E47" i="15"/>
  <c r="E48" i="15"/>
  <c r="E49" i="15"/>
  <c r="E50" i="15"/>
  <c r="E51" i="15"/>
  <c r="E52" i="15"/>
  <c r="E45" i="15"/>
  <c r="E46" i="15"/>
  <c r="C52" i="15"/>
  <c r="C51" i="15"/>
  <c r="C50" i="15"/>
  <c r="C49" i="15"/>
  <c r="C48" i="15"/>
  <c r="C47" i="15"/>
  <c r="C46" i="15"/>
  <c r="G72" i="13" l="1"/>
  <c r="G44" i="13"/>
  <c r="F45" i="13"/>
  <c r="F69" i="15"/>
  <c r="D104" i="15"/>
  <c r="F73" i="15"/>
  <c r="D105" i="15" s="1"/>
  <c r="F47" i="15"/>
  <c r="F46" i="15"/>
  <c r="F49" i="15"/>
  <c r="F52" i="15"/>
  <c r="F50" i="15"/>
  <c r="F45" i="15"/>
  <c r="F51" i="15"/>
  <c r="F48" i="15"/>
  <c r="G73" i="13" l="1"/>
  <c r="F74" i="13"/>
  <c r="G45" i="13"/>
  <c r="F46" i="13"/>
  <c r="D91" i="15"/>
  <c r="D92" i="15" s="1"/>
  <c r="F218" i="14"/>
  <c r="H218" i="14"/>
  <c r="F172" i="14"/>
  <c r="E172" i="14" s="1"/>
  <c r="E171" i="14"/>
  <c r="D171" i="14" s="1"/>
  <c r="E217" i="14"/>
  <c r="C217" i="14"/>
  <c r="D217" i="14" s="1"/>
  <c r="D216" i="14"/>
  <c r="C216" i="14" s="1"/>
  <c r="C173" i="14"/>
  <c r="C219" i="14"/>
  <c r="E194" i="14"/>
  <c r="E196" i="14" s="1"/>
  <c r="D198" i="14"/>
  <c r="D195" i="14"/>
  <c r="D194" i="14"/>
  <c r="C113" i="14"/>
  <c r="F75" i="13" l="1"/>
  <c r="G74" i="13"/>
  <c r="F47" i="13"/>
  <c r="G46" i="13"/>
  <c r="G218" i="14"/>
  <c r="F219" i="14"/>
  <c r="D219" i="14"/>
  <c r="E195" i="14"/>
  <c r="E197" i="14" s="1"/>
  <c r="E198" i="14" s="1"/>
  <c r="F76" i="13" l="1"/>
  <c r="G75" i="13"/>
  <c r="F48" i="13"/>
  <c r="G47" i="13"/>
  <c r="E219" i="14"/>
  <c r="F77" i="13" l="1"/>
  <c r="G76" i="13"/>
  <c r="F49" i="13"/>
  <c r="G48" i="13"/>
  <c r="H219" i="14"/>
  <c r="G219" i="14"/>
  <c r="I216" i="14" s="1"/>
  <c r="J216" i="14" l="1"/>
  <c r="G77" i="13"/>
  <c r="F78" i="13"/>
  <c r="F50" i="13"/>
  <c r="G49" i="13"/>
  <c r="I218" i="14"/>
  <c r="J218" i="14" s="1"/>
  <c r="I217" i="14"/>
  <c r="J217" i="14" s="1"/>
  <c r="G78" i="13" l="1"/>
  <c r="F79" i="13"/>
  <c r="F51" i="13"/>
  <c r="G50" i="13"/>
  <c r="G64" i="14"/>
  <c r="E64" i="14"/>
  <c r="F63" i="14"/>
  <c r="D63" i="14"/>
  <c r="E62" i="14"/>
  <c r="D62" i="14" s="1"/>
  <c r="D65" i="14"/>
  <c r="G79" i="13" l="1"/>
  <c r="F80" i="13"/>
  <c r="F52" i="13"/>
  <c r="G51" i="13"/>
  <c r="F64" i="14"/>
  <c r="E63" i="14"/>
  <c r="F81" i="13" l="1"/>
  <c r="G81" i="13" s="1"/>
  <c r="G80" i="13"/>
  <c r="F53" i="13"/>
  <c r="G52" i="13"/>
  <c r="I28" i="14"/>
  <c r="H30" i="14"/>
  <c r="H29" i="14"/>
  <c r="H28" i="14"/>
  <c r="G83" i="13" l="1"/>
  <c r="F54" i="13"/>
  <c r="G54" i="13" s="1"/>
  <c r="G53" i="13"/>
  <c r="D113" i="14"/>
  <c r="D173" i="14"/>
  <c r="I29" i="14"/>
  <c r="E65" i="14"/>
  <c r="G56" i="13" l="1"/>
  <c r="E113" i="14"/>
  <c r="E173" i="14"/>
  <c r="I30" i="14"/>
  <c r="F65" i="14"/>
  <c r="G110" i="14" l="1"/>
  <c r="F113" i="14"/>
  <c r="F173" i="14"/>
  <c r="G65" i="14"/>
  <c r="H62" i="14" s="1"/>
  <c r="H74" i="14" l="1"/>
  <c r="H86" i="14" s="1"/>
  <c r="G171" i="14"/>
  <c r="H171" i="14" s="1"/>
  <c r="H64" i="14"/>
  <c r="H76" i="14"/>
  <c r="H110" i="14"/>
  <c r="G170" i="14"/>
  <c r="H170" i="14" s="1"/>
  <c r="G111" i="14"/>
  <c r="H111" i="14" s="1"/>
  <c r="G112" i="14"/>
  <c r="H112" i="14" s="1"/>
  <c r="G172" i="14"/>
  <c r="H172" i="14" s="1"/>
  <c r="H63" i="14"/>
  <c r="H75" i="14" s="1"/>
  <c r="H87" i="14" l="1"/>
  <c r="H88" i="14"/>
  <c r="D168" i="9" l="1"/>
  <c r="D155" i="9"/>
  <c r="D153" i="9"/>
  <c r="D71" i="9"/>
  <c r="D123" i="9"/>
  <c r="E94" i="9" l="1"/>
  <c r="E108" i="9"/>
  <c r="E93" i="9"/>
  <c r="D107" i="9"/>
  <c r="D106" i="9"/>
  <c r="E91" i="9"/>
  <c r="D91" i="9"/>
  <c r="E92" i="9"/>
  <c r="D89" i="9"/>
  <c r="E74" i="9"/>
  <c r="E56" i="9"/>
  <c r="E73" i="9"/>
  <c r="E55" i="9"/>
  <c r="D72" i="9"/>
  <c r="D54" i="9"/>
  <c r="E53" i="9"/>
  <c r="D53" i="9"/>
  <c r="D70" i="9"/>
  <c r="D52" i="9"/>
  <c r="D170" i="9" l="1"/>
  <c r="D157" i="9"/>
  <c r="E110" i="9"/>
  <c r="D110" i="9"/>
  <c r="E95" i="9"/>
  <c r="D95" i="9"/>
  <c r="E75" i="9"/>
  <c r="E136" i="9" s="1"/>
  <c r="D75" i="9"/>
  <c r="D136" i="9" s="1"/>
  <c r="D57" i="9" l="1"/>
  <c r="E123" i="9" s="1"/>
  <c r="E57" i="9"/>
  <c r="F123" i="9" s="1"/>
  <c r="F47" i="5"/>
  <c r="F53" i="5" l="1"/>
  <c r="F52" i="5"/>
  <c r="F51" i="5"/>
  <c r="F50" i="5"/>
  <c r="F49" i="5"/>
  <c r="F48" i="5"/>
  <c r="D61" i="5" s="1"/>
  <c r="D62" i="5" l="1"/>
  <c r="D71" i="5"/>
  <c r="G7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Rising Fellow</author>
  </authors>
  <commentList>
    <comment ref="F44" authorId="0" shapeId="0" xr:uid="{DD536EB3-F74A-5340-84BD-A4495388CBF7}">
      <text>
        <r>
          <rPr>
            <b/>
            <sz val="10"/>
            <color rgb="FF000000"/>
            <rFont val="Tahoma"/>
            <family val="2"/>
          </rPr>
          <t>Rising Fellow:</t>
        </r>
        <r>
          <rPr>
            <sz val="10"/>
            <color rgb="FF000000"/>
            <rFont val="Tahoma"/>
            <family val="2"/>
          </rPr>
          <t xml:space="preserve">
</t>
        </r>
        <r>
          <rPr>
            <sz val="10"/>
            <color rgb="FF000000"/>
            <rFont val="Tahoma"/>
            <family val="2"/>
          </rPr>
          <t>Instead of manually typing in 23/24, 21/24, 19/24, ... Just subtract 1/12 for each following calculation in the series.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Rising Fellow</author>
  </authors>
  <commentList>
    <comment ref="G60" authorId="0" shapeId="0" xr:uid="{C896AD7A-1230-FA4C-A879-CD80026859E1}">
      <text>
        <r>
          <rPr>
            <b/>
            <sz val="10"/>
            <color rgb="FF000000"/>
            <rFont val="Tahoma"/>
            <family val="2"/>
          </rPr>
          <t>Rising Fellow:</t>
        </r>
        <r>
          <rPr>
            <sz val="10"/>
            <color rgb="FF000000"/>
            <rFont val="Tahoma"/>
            <family val="2"/>
          </rPr>
          <t xml:space="preserve">
</t>
        </r>
        <r>
          <rPr>
            <sz val="10"/>
            <color rgb="FF000000"/>
            <rFont val="Tahoma"/>
            <family val="2"/>
          </rPr>
          <t>Note that this problem gives written premium by quarter, not 12-month rolling periods like the 1-step premium trend problem or the exhibit in Appendix A of Werner.</t>
        </r>
      </text>
    </comment>
  </commentList>
</comments>
</file>

<file path=xl/sharedStrings.xml><?xml version="1.0" encoding="utf-8"?>
<sst xmlns="http://schemas.openxmlformats.org/spreadsheetml/2006/main" count="1134" uniqueCount="644">
  <si>
    <t>More Practice</t>
  </si>
  <si>
    <t>Source</t>
  </si>
  <si>
    <t>CBT Spreadsheet Tips</t>
  </si>
  <si>
    <t>Discussion</t>
  </si>
  <si>
    <t>5)</t>
  </si>
  <si>
    <t>4)</t>
  </si>
  <si>
    <t>3)</t>
  </si>
  <si>
    <t>2)</t>
  </si>
  <si>
    <t>1)</t>
  </si>
  <si>
    <t>Solution</t>
  </si>
  <si>
    <t>Year</t>
  </si>
  <si>
    <t>Problem</t>
  </si>
  <si>
    <t>Total</t>
  </si>
  <si>
    <t>• Policies are written uniformly throughought each year</t>
  </si>
  <si>
    <t>Policy Effective Dates</t>
  </si>
  <si>
    <t>Number of Policies</t>
  </si>
  <si>
    <t>Number of Exposures</t>
  </si>
  <si>
    <t>Territory</t>
  </si>
  <si>
    <t>Class</t>
  </si>
  <si>
    <t>Jan 1, 2022 - Dec 31, 2022</t>
  </si>
  <si>
    <t>A</t>
  </si>
  <si>
    <t>X</t>
  </si>
  <si>
    <t>Y</t>
  </si>
  <si>
    <t>B</t>
  </si>
  <si>
    <t>Rating Factor</t>
  </si>
  <si>
    <t>Part a – Written premium at current rate level with extension of exposures</t>
  </si>
  <si>
    <t>Effective Year</t>
  </si>
  <si>
    <t>2) Aggregate the on-level written premium by calendar year based on the policy effective date.</t>
  </si>
  <si>
    <t>Calendar Year</t>
  </si>
  <si>
    <t>3) Determine the percentage of each policy year that is earned in the calendar year and calculate the aggregate on-level earned premium.</t>
  </si>
  <si>
    <t>CY 2023 EP =</t>
  </si>
  <si>
    <t>per policy</t>
  </si>
  <si>
    <t>An insurance company writes annual policies and has the following historical policies in the experience period grouped by rating characteristics for an indicated rate review as of 3/31/23:</t>
  </si>
  <si>
    <t>Jan 1, 2021 - Dec 31, 2021</t>
  </si>
  <si>
    <t>The current rating algorithm as of 3/31/23 is:</t>
  </si>
  <si>
    <r>
      <t xml:space="preserve">1) Rerate all policies in the experience period </t>
    </r>
    <r>
      <rPr>
        <b/>
        <i/>
        <u/>
        <sz val="12"/>
        <color theme="1"/>
        <rFont val="Calibri"/>
        <family val="2"/>
      </rPr>
      <t>using the current rating algorithm</t>
    </r>
    <r>
      <rPr>
        <b/>
        <sz val="12"/>
        <color theme="1"/>
        <rFont val="Calibri"/>
        <family val="2"/>
      </rPr>
      <t xml:space="preserve"> to restate the historical premium at current rate levels. Make sure to apply the correct class factors to each policy.</t>
    </r>
  </si>
  <si>
    <t>In Excel</t>
  </si>
  <si>
    <t>Premium 
at CRL</t>
  </si>
  <si>
    <t>Written Premium 
at CRL</t>
  </si>
  <si>
    <t>Written Premium = SUMIF( effective year, calendar year criteria, premium at CRL )</t>
  </si>
  <si>
    <r>
      <t>Class Factor</t>
    </r>
    <r>
      <rPr>
        <vertAlign val="subscript"/>
        <sz val="12"/>
        <color theme="1"/>
        <rFont val="Calibri (Body)"/>
      </rPr>
      <t>i</t>
    </r>
    <r>
      <rPr>
        <sz val="12"/>
        <color theme="1"/>
        <rFont val="Calibri (Body)"/>
      </rPr>
      <t xml:space="preserve"> = VLOOKUP(Class</t>
    </r>
    <r>
      <rPr>
        <vertAlign val="subscript"/>
        <sz val="12"/>
        <color theme="1"/>
        <rFont val="Calibri (Body)"/>
      </rPr>
      <t>i</t>
    </r>
    <r>
      <rPr>
        <sz val="12"/>
        <color theme="1"/>
        <rFont val="Calibri (Body)"/>
      </rPr>
      <t>, rating factor table, rating factor column #, FALSE)</t>
    </r>
  </si>
  <si>
    <t>Use VLOOKUP( ) to look up the correct class rating factors for a policy group:</t>
  </si>
  <si>
    <t>Calculate the on-level earned premium for Calendar Year 2022 using the extension of exposures method.</t>
  </si>
  <si>
    <t>% in CY 2022</t>
  </si>
  <si>
    <t xml:space="preserve">• Most accurate current rate level method
</t>
  </si>
  <si>
    <r>
      <rPr>
        <b/>
        <u/>
        <sz val="12"/>
        <color theme="1"/>
        <rFont val="Calibri"/>
        <family val="2"/>
      </rPr>
      <t>Advantages</t>
    </r>
    <r>
      <rPr>
        <b/>
        <sz val="12"/>
        <color theme="1"/>
        <rFont val="Calibri"/>
        <family val="2"/>
      </rPr>
      <t xml:space="preserve"> 
</t>
    </r>
  </si>
  <si>
    <r>
      <rPr>
        <b/>
        <u/>
        <sz val="12"/>
        <color theme="1"/>
        <rFont val="Calibri"/>
        <family val="2"/>
      </rPr>
      <t>Disadvantages</t>
    </r>
    <r>
      <rPr>
        <b/>
        <sz val="12"/>
        <color theme="1"/>
        <rFont val="Calibri"/>
        <family val="2"/>
      </rPr>
      <t xml:space="preserve">
</t>
    </r>
  </si>
  <si>
    <t>• Requires detailed data - rating characteristics for all policies in the historical period
• Difficult to determine what subjective debits/credits would be applied under current rating guidelines</t>
  </si>
  <si>
    <r>
      <t xml:space="preserve">The key idea of the extension of exposures method is to rerate all policies written in the historical experience period with the </t>
    </r>
    <r>
      <rPr>
        <i/>
        <u/>
        <sz val="12"/>
        <color theme="1"/>
        <rFont val="Calibri"/>
        <family val="2"/>
      </rPr>
      <t>current rating algorithm</t>
    </r>
    <r>
      <rPr>
        <sz val="12"/>
        <color theme="1"/>
        <rFont val="Calibri"/>
        <family val="2"/>
      </rPr>
      <t>. This restates the historical premium to current rates. 
The extension of exposures method has the following advantages and disadvantages:</t>
    </r>
  </si>
  <si>
    <t>Possible Problem Modifications</t>
  </si>
  <si>
    <t xml:space="preserve">• 6-month policies used </t>
  </si>
  <si>
    <t xml:space="preserve">• Different rating algorithm used </t>
  </si>
  <si>
    <t xml:space="preserve">• Given rating factors at different effective dates </t>
  </si>
  <si>
    <t>⇾ The problem should clearly state the rating algorithm</t>
  </si>
  <si>
    <t>⇾ Make sure to use the latest rating factors</t>
  </si>
  <si>
    <t>⇾ Make sure to apply the rating algorithm and aggregate earned premium correctly</t>
  </si>
  <si>
    <t>CAS Fall 2018 – 3</t>
  </si>
  <si>
    <t>CAS Fall 2015 – 1</t>
  </si>
  <si>
    <t>CAS Fall 2014 – 3</t>
  </si>
  <si>
    <t>CAS Fall 2013 – 2</t>
  </si>
  <si>
    <t>For this type of problem, using VLOOKUP( ) to look up rating factors for a given rating characteristic and SUMIF( ) to aggregate premium by year may be helpful on the exam. Of course, you can always reference rating factors and aggregate premium by year manually if it's a very simple problem.
SUMPRODUCT( array 1, array 2, ...) makes it easy to help calculate weighted averages or the sum of a product of multiple arrays in one step.</t>
  </si>
  <si>
    <t>Given the following historical premium and rate changes for an insurer:</t>
  </si>
  <si>
    <t>Historical Premium</t>
  </si>
  <si>
    <t>Rate Change History</t>
  </si>
  <si>
    <t>Effective Date</t>
  </si>
  <si>
    <t>Overall Average Rate  Change</t>
  </si>
  <si>
    <t>• All policies are annual-term policies</t>
  </si>
  <si>
    <t>• Policies are written uniformly over the year</t>
  </si>
  <si>
    <t>Calculate the earned premium at current rate level for Calendar Years 2020-2022.</t>
  </si>
  <si>
    <t>Policy</t>
  </si>
  <si>
    <t>Expiration Date</t>
  </si>
  <si>
    <t># Autos on policy</t>
  </si>
  <si>
    <t>C</t>
  </si>
  <si>
    <t>D</t>
  </si>
  <si>
    <t>E</t>
  </si>
  <si>
    <t>F</t>
  </si>
  <si>
    <t>The following policy changes occurred during the policy effective period:</t>
  </si>
  <si>
    <t>• Policy E: Canceled on 3/31/22</t>
  </si>
  <si>
    <t>• Automobile units exposed to loss</t>
  </si>
  <si>
    <t>• Written exposures</t>
  </si>
  <si>
    <t>a.</t>
  </si>
  <si>
    <t>b.</t>
  </si>
  <si>
    <t>c.</t>
  </si>
  <si>
    <t>d.</t>
  </si>
  <si>
    <t>6)</t>
  </si>
  <si>
    <t>7)</t>
  </si>
  <si>
    <t>8)</t>
  </si>
  <si>
    <r>
      <t xml:space="preserve">Given the following automobile policy information, </t>
    </r>
    <r>
      <rPr>
        <i/>
        <u/>
        <sz val="12"/>
        <color theme="1"/>
        <rFont val="Calibri"/>
        <family val="2"/>
      </rPr>
      <t>at policy inception</t>
    </r>
    <r>
      <rPr>
        <sz val="12"/>
        <color theme="1"/>
        <rFont val="Calibri"/>
        <family val="2"/>
      </rPr>
      <t>, for an insurance company that writes 6-month and 12-month policies:</t>
    </r>
  </si>
  <si>
    <t>Part a – Written exposures</t>
  </si>
  <si>
    <t>Part b – Earned exposures</t>
  </si>
  <si>
    <t>Part c – Unearned exposures</t>
  </si>
  <si>
    <t>Part d – In-force exposures</t>
  </si>
  <si>
    <r>
      <t xml:space="preserve">For </t>
    </r>
    <r>
      <rPr>
        <b/>
        <i/>
        <u/>
        <sz val="12"/>
        <color theme="1"/>
        <rFont val="Calibri"/>
        <family val="2"/>
      </rPr>
      <t>Policy Year</t>
    </r>
    <r>
      <rPr>
        <b/>
        <sz val="12"/>
        <color theme="1"/>
        <rFont val="Calibri"/>
        <family val="2"/>
      </rPr>
      <t xml:space="preserve">, exposures are aggregated by </t>
    </r>
    <r>
      <rPr>
        <b/>
        <i/>
        <u/>
        <sz val="12"/>
        <color theme="1"/>
        <rFont val="Calibri"/>
        <family val="2"/>
      </rPr>
      <t>policy effective date</t>
    </r>
    <r>
      <rPr>
        <b/>
        <sz val="12"/>
        <color theme="1"/>
        <rFont val="Calibri"/>
        <family val="2"/>
      </rPr>
      <t xml:space="preserve">. Therefore, policy cancelations will record a negative partial exposure for the portion of the policy canceled for the calendar year of the </t>
    </r>
    <r>
      <rPr>
        <b/>
        <i/>
        <u/>
        <sz val="12"/>
        <color theme="1"/>
        <rFont val="Calibri"/>
        <family val="2"/>
      </rPr>
      <t>transaction date</t>
    </r>
    <r>
      <rPr>
        <b/>
        <sz val="12"/>
        <color theme="1"/>
        <rFont val="Calibri"/>
        <family val="2"/>
      </rPr>
      <t xml:space="preserve">. </t>
    </r>
  </si>
  <si>
    <r>
      <t xml:space="preserve">For </t>
    </r>
    <r>
      <rPr>
        <b/>
        <i/>
        <u/>
        <sz val="12"/>
        <color theme="1"/>
        <rFont val="Calibri"/>
        <family val="2"/>
      </rPr>
      <t>Calendar Year</t>
    </r>
    <r>
      <rPr>
        <b/>
        <sz val="12"/>
        <color theme="1"/>
        <rFont val="Calibri"/>
        <family val="2"/>
      </rPr>
      <t xml:space="preserve">, exposures are aggregated by </t>
    </r>
    <r>
      <rPr>
        <b/>
        <i/>
        <u/>
        <sz val="12"/>
        <color theme="1"/>
        <rFont val="Calibri"/>
        <family val="2"/>
      </rPr>
      <t>transaction date</t>
    </r>
    <r>
      <rPr>
        <b/>
        <sz val="12"/>
        <color theme="1"/>
        <rFont val="Calibri"/>
        <family val="2"/>
      </rPr>
      <t xml:space="preserve">. Policy cancelations will record a negative partial exposure for the portion of the policy canceled for the calendar year of the </t>
    </r>
    <r>
      <rPr>
        <b/>
        <i/>
        <u/>
        <sz val="12"/>
        <color theme="1"/>
        <rFont val="Calibri"/>
        <family val="2"/>
      </rPr>
      <t>transaction date</t>
    </r>
    <r>
      <rPr>
        <b/>
        <sz val="12"/>
        <color theme="1"/>
        <rFont val="Calibri"/>
        <family val="2"/>
      </rPr>
      <t xml:space="preserve">. </t>
    </r>
  </si>
  <si>
    <r>
      <t xml:space="preserve">For </t>
    </r>
    <r>
      <rPr>
        <b/>
        <i/>
        <u/>
        <sz val="12"/>
        <color theme="1"/>
        <rFont val="Calibri"/>
        <family val="2"/>
      </rPr>
      <t>Calendar Year</t>
    </r>
    <r>
      <rPr>
        <b/>
        <sz val="12"/>
        <color theme="1"/>
        <rFont val="Calibri"/>
        <family val="2"/>
      </rPr>
      <t>, earned exposure is based on the portion of the policy term used up aggregated by calendar year. This assumes the probability of a claim is evenly distributed throughout the year (an even earning pattern).</t>
    </r>
  </si>
  <si>
    <r>
      <t xml:space="preserve">For </t>
    </r>
    <r>
      <rPr>
        <b/>
        <i/>
        <u/>
        <sz val="12"/>
        <color theme="1"/>
        <rFont val="Calibri"/>
        <family val="2"/>
      </rPr>
      <t>Policy Year</t>
    </r>
    <r>
      <rPr>
        <b/>
        <sz val="12"/>
        <color theme="1"/>
        <rFont val="Calibri"/>
        <family val="2"/>
      </rPr>
      <t>, unearned exposure is the difference between written exposure and earned exposure for a given policy year.</t>
    </r>
  </si>
  <si>
    <r>
      <t xml:space="preserve">For </t>
    </r>
    <r>
      <rPr>
        <b/>
        <i/>
        <u/>
        <sz val="12"/>
        <color theme="1"/>
        <rFont val="Calibri"/>
        <family val="2"/>
      </rPr>
      <t>Calendar Year</t>
    </r>
    <r>
      <rPr>
        <b/>
        <sz val="12"/>
        <color theme="1"/>
        <rFont val="Calibri"/>
        <family val="2"/>
      </rPr>
      <t xml:space="preserve">, unearned exposure is the difference between written exposure and earned exposure for a given calendar year </t>
    </r>
    <r>
      <rPr>
        <b/>
        <i/>
        <u/>
        <sz val="12"/>
        <color theme="1"/>
        <rFont val="Calibri"/>
        <family val="2"/>
      </rPr>
      <t>plus</t>
    </r>
    <r>
      <rPr>
        <b/>
        <sz val="12"/>
        <color theme="1"/>
        <rFont val="Calibri"/>
        <family val="2"/>
      </rPr>
      <t xml:space="preserve"> unearned exposures as of the beginning of the calendar year.</t>
    </r>
  </si>
  <si>
    <t>Sum up the number of exposed units on policies that are in-force as of the given date. Include policies where the "as of" date is after the policy effective date and before expiration or cancelation date.</t>
  </si>
  <si>
    <t>Werner Ratemaking Ch. 4 - pg. 51-61</t>
  </si>
  <si>
    <t>Werner Ratemaking Ch. 5 – pg. 72-73</t>
  </si>
  <si>
    <t>CY 2021</t>
  </si>
  <si>
    <t>CY 2022</t>
  </si>
  <si>
    <t>Comments</t>
  </si>
  <si>
    <t>6-month policy, so each auto is worth 0.5 car-years</t>
  </si>
  <si>
    <t>6-month policy written 2022, canceled halfway through</t>
  </si>
  <si>
    <t>Annual policy written 2022</t>
  </si>
  <si>
    <t>Written Exposures</t>
  </si>
  <si>
    <t>PY 2021</t>
  </si>
  <si>
    <t>PY 2022</t>
  </si>
  <si>
    <t>• Policy B: Canceled on 1/1/22</t>
  </si>
  <si>
    <t>The exposure base is car-years and the probability of a claim is evenly distributed through the year.</t>
  </si>
  <si>
    <t>1 auto removed with 3 months remaining</t>
  </si>
  <si>
    <t>Effective date in 2020</t>
  </si>
  <si>
    <r>
      <t>Note:</t>
    </r>
    <r>
      <rPr>
        <sz val="12"/>
        <color theme="1"/>
        <rFont val="Calibri"/>
        <family val="2"/>
      </rPr>
      <t xml:space="preserve"> For policy C, an alternative way to calculate the CY 2022 written exposure is that 3 months of the original policy is canceled ( -2 * 3/12 ) and the newly modified policy has 3 months remaining with 1 autos ( +1 * 3/12 ). The sum is -0.25 car-years.</t>
    </r>
  </si>
  <si>
    <t>Canceled in CY 2022 with 3 months remaining</t>
  </si>
  <si>
    <t>Cancelation contributes to PY 2021 (original effective date)</t>
  </si>
  <si>
    <t>Earned Exposures</t>
  </si>
  <si>
    <t>Unearned Exposures</t>
  </si>
  <si>
    <t>Canceled on 1/1/22</t>
  </si>
  <si>
    <t>2 autos earned for 5 months in 2021 and 1 month in 2022</t>
  </si>
  <si>
    <t>Canceled on 3/31/22, so only 3-months earned</t>
  </si>
  <si>
    <t>9 months earned in 2022</t>
  </si>
  <si>
    <t>Written in 2020, but in effect for 3 months of 2021</t>
  </si>
  <si>
    <t>Policy effective date is in PY 2020</t>
  </si>
  <si>
    <t>Policies B, C and D contribute to PY 2021</t>
  </si>
  <si>
    <t>Policies E and F contribute to PY 2021</t>
  </si>
  <si>
    <t>CY 2020</t>
  </si>
  <si>
    <t>• Assume there are no other policies written between 2020 and 2022</t>
  </si>
  <si>
    <r>
      <rPr>
        <b/>
        <sz val="12"/>
        <color theme="1"/>
        <rFont val="Calibri"/>
        <family val="2"/>
      </rPr>
      <t>Note:</t>
    </r>
    <r>
      <rPr>
        <sz val="12"/>
        <color theme="1"/>
        <rFont val="Calibri"/>
        <family val="2"/>
      </rPr>
      <t xml:space="preserve"> To calculate CY 2021 Unearned Exposures, we need the Unearned Exposures at the beginning of the year, the CY 2020 Unearned Exposures. By the end of CY 2020, the only unearned exposure is from the 3 months remaining of Policy A which is earned in CY 2021.</t>
    </r>
  </si>
  <si>
    <t xml:space="preserve">In-Force </t>
  </si>
  <si>
    <t>• Policy C: One of the autos was removed from the policy on 4/1/22</t>
  </si>
  <si>
    <t>Expired</t>
  </si>
  <si>
    <t>Canceled before 2/15/22</t>
  </si>
  <si>
    <t>1 auto was removed on 4/1/22, after 2/15/22</t>
  </si>
  <si>
    <t>6-month policy, so each auto is 0.5 written car-years</t>
  </si>
  <si>
    <r>
      <t xml:space="preserve">For in-force "written exposures", sum up the written exposures on policies that are in-force </t>
    </r>
    <r>
      <rPr>
        <b/>
        <i/>
        <u/>
        <sz val="12"/>
        <color theme="1"/>
        <rFont val="Calibri"/>
        <family val="2"/>
      </rPr>
      <t>as of the given date</t>
    </r>
    <r>
      <rPr>
        <b/>
        <sz val="12"/>
        <color theme="1"/>
        <rFont val="Calibri"/>
        <family val="2"/>
      </rPr>
      <t xml:space="preserve">. </t>
    </r>
  </si>
  <si>
    <t>Criteria for Exposure Bases</t>
  </si>
  <si>
    <r>
      <t>Earned exposures</t>
    </r>
    <r>
      <rPr>
        <sz val="12"/>
        <color theme="1"/>
        <rFont val="Calibri"/>
        <family val="2"/>
      </rPr>
      <t xml:space="preserve"> -</t>
    </r>
    <r>
      <rPr>
        <b/>
        <sz val="12"/>
        <color theme="1"/>
        <rFont val="Calibri"/>
        <family val="2"/>
      </rPr>
      <t xml:space="preserve"> </t>
    </r>
    <r>
      <rPr>
        <sz val="12"/>
        <color theme="1"/>
        <rFont val="Calibri"/>
        <family val="2"/>
      </rPr>
      <t>The portion of written exposures for which coverage has already been provided as of a point of time.</t>
    </r>
  </si>
  <si>
    <r>
      <t>Written exposures</t>
    </r>
    <r>
      <rPr>
        <sz val="12"/>
        <color theme="1"/>
        <rFont val="Calibri"/>
        <family val="2"/>
      </rPr>
      <t xml:space="preserve"> -</t>
    </r>
    <r>
      <rPr>
        <b/>
        <sz val="12"/>
        <color theme="1"/>
        <rFont val="Calibri"/>
        <family val="2"/>
      </rPr>
      <t xml:space="preserve"> </t>
    </r>
    <r>
      <rPr>
        <sz val="12"/>
        <color theme="1"/>
        <rFont val="Calibri"/>
        <family val="2"/>
      </rPr>
      <t xml:space="preserve">The total exposures on policies written during the time period, based on their </t>
    </r>
    <r>
      <rPr>
        <i/>
        <u/>
        <sz val="12"/>
        <color theme="1"/>
        <rFont val="Calibri"/>
        <family val="2"/>
      </rPr>
      <t>effective date</t>
    </r>
    <r>
      <rPr>
        <sz val="12"/>
        <color theme="1"/>
        <rFont val="Calibri"/>
        <family val="2"/>
      </rPr>
      <t xml:space="preserve">. </t>
    </r>
  </si>
  <si>
    <r>
      <t>In-force exposures</t>
    </r>
    <r>
      <rPr>
        <sz val="12"/>
        <color theme="1"/>
        <rFont val="Calibri"/>
        <family val="2"/>
      </rPr>
      <t xml:space="preserve"> -</t>
    </r>
    <r>
      <rPr>
        <b/>
        <sz val="12"/>
        <color theme="1"/>
        <rFont val="Calibri"/>
        <family val="2"/>
      </rPr>
      <t xml:space="preserve"> </t>
    </r>
    <r>
      <rPr>
        <sz val="12"/>
        <color theme="1"/>
        <rFont val="Calibri"/>
        <family val="2"/>
      </rPr>
      <t xml:space="preserve">The number of insured units exposed to claims at a given point in time for policies that are in force. </t>
    </r>
  </si>
  <si>
    <t>⇾ Calculate earned exposures based on the % of the exposure earning pattern used</t>
  </si>
  <si>
    <t>• Uneven earning pattern (e.g. for watercraft where most claims occur in summer)</t>
  </si>
  <si>
    <t>• Semi-annual policies</t>
  </si>
  <si>
    <t>⇾ Each policy counts as 50% of a written exposure (0.5 years)</t>
  </si>
  <si>
    <t xml:space="preserve">• Policy cancelations and modifications </t>
  </si>
  <si>
    <r>
      <rPr>
        <i/>
        <u/>
        <sz val="12"/>
        <color theme="1"/>
        <rFont val="Calibri"/>
        <family val="2"/>
      </rPr>
      <t>As of 12/31/22</t>
    </r>
    <r>
      <rPr>
        <sz val="12"/>
        <color theme="1"/>
        <rFont val="Calibri"/>
        <family val="2"/>
      </rPr>
      <t>, PY 2021 is fully earned (written = earned)</t>
    </r>
  </si>
  <si>
    <r>
      <t xml:space="preserve">Questions about aggregating exposures are straight-forward but it's easy to overlook some of the details and make a mistake. 
There are two main ways to aggregate exposures, by </t>
    </r>
    <r>
      <rPr>
        <b/>
        <sz val="12"/>
        <color theme="1"/>
        <rFont val="Calibri"/>
        <family val="2"/>
      </rPr>
      <t>policy year</t>
    </r>
    <r>
      <rPr>
        <sz val="12"/>
        <color theme="1"/>
        <rFont val="Calibri"/>
        <family val="2"/>
      </rPr>
      <t xml:space="preserve"> and by </t>
    </r>
    <r>
      <rPr>
        <b/>
        <sz val="12"/>
        <color theme="1"/>
        <rFont val="Calibri"/>
        <family val="2"/>
      </rPr>
      <t>calendar (accident) year</t>
    </r>
    <r>
      <rPr>
        <sz val="12"/>
        <color theme="1"/>
        <rFont val="Calibri"/>
        <family val="2"/>
      </rPr>
      <t>. 
•</t>
    </r>
    <r>
      <rPr>
        <b/>
        <sz val="12"/>
        <color theme="1"/>
        <rFont val="Calibri"/>
        <family val="2"/>
      </rPr>
      <t xml:space="preserve"> Policy year </t>
    </r>
    <r>
      <rPr>
        <sz val="12"/>
        <color theme="1"/>
        <rFont val="Calibri"/>
        <family val="2"/>
      </rPr>
      <t xml:space="preserve">exposures are aggregated according to the </t>
    </r>
    <r>
      <rPr>
        <i/>
        <u/>
        <sz val="12"/>
        <color theme="1"/>
        <rFont val="Calibri"/>
        <family val="2"/>
      </rPr>
      <t>original policy effective date</t>
    </r>
    <r>
      <rPr>
        <sz val="12"/>
        <color theme="1"/>
        <rFont val="Calibri"/>
        <family val="2"/>
      </rPr>
      <t xml:space="preserve"> 
• </t>
    </r>
    <r>
      <rPr>
        <b/>
        <sz val="12"/>
        <color theme="1"/>
        <rFont val="Calibri"/>
        <family val="2"/>
      </rPr>
      <t>Calendar year</t>
    </r>
    <r>
      <rPr>
        <sz val="12"/>
        <color theme="1"/>
        <rFont val="Calibri"/>
        <family val="2"/>
      </rPr>
      <t xml:space="preserve"> exposures are aggregated based on the </t>
    </r>
    <r>
      <rPr>
        <i/>
        <u/>
        <sz val="12"/>
        <color theme="1"/>
        <rFont val="Calibri"/>
        <family val="2"/>
      </rPr>
      <t>transaction date</t>
    </r>
    <r>
      <rPr>
        <sz val="12"/>
        <color theme="1"/>
        <rFont val="Calibri"/>
        <family val="2"/>
      </rPr>
      <t xml:space="preserve">. 
A key thing to remember is that at the end of a year, calendar year exposures are </t>
    </r>
    <r>
      <rPr>
        <i/>
        <u/>
        <sz val="12"/>
        <color theme="1"/>
        <rFont val="Calibri"/>
        <family val="2"/>
      </rPr>
      <t>fixed</t>
    </r>
    <r>
      <rPr>
        <sz val="12"/>
        <color theme="1"/>
        <rFont val="Calibri"/>
        <family val="2"/>
      </rPr>
      <t>. In contrast, policy year exposures aren't fixed until all policies written during the year expire (24 months after the start of the policy year for annual policies).</t>
    </r>
  </si>
  <si>
    <r>
      <t xml:space="preserve">⇾ </t>
    </r>
    <r>
      <rPr>
        <b/>
        <sz val="12"/>
        <color theme="1"/>
        <rFont val="Calibri"/>
        <family val="2"/>
      </rPr>
      <t>Calendar Year</t>
    </r>
    <r>
      <rPr>
        <sz val="12"/>
        <color theme="1"/>
        <rFont val="Calibri"/>
        <family val="2"/>
      </rPr>
      <t xml:space="preserve">: The written exposure for the cancelation/modification contributes to the calendar year of the </t>
    </r>
    <r>
      <rPr>
        <i/>
        <u/>
        <sz val="12"/>
        <color theme="1"/>
        <rFont val="Calibri"/>
        <family val="2"/>
      </rPr>
      <t>transaction date</t>
    </r>
  </si>
  <si>
    <r>
      <t xml:space="preserve">⇾ </t>
    </r>
    <r>
      <rPr>
        <b/>
        <sz val="12"/>
        <color theme="1"/>
        <rFont val="Calibri"/>
        <family val="2"/>
      </rPr>
      <t>Policy Year</t>
    </r>
    <r>
      <rPr>
        <sz val="12"/>
        <color theme="1"/>
        <rFont val="Calibri"/>
        <family val="2"/>
      </rPr>
      <t xml:space="preserve">: The written exposure for the cancelation/modification contributes to the policy year of the </t>
    </r>
    <r>
      <rPr>
        <i/>
        <u/>
        <sz val="12"/>
        <color theme="1"/>
        <rFont val="Calibri"/>
        <family val="2"/>
      </rPr>
      <t>original policy effective date</t>
    </r>
  </si>
  <si>
    <t>Aggregating Premium for Individual Policies</t>
  </si>
  <si>
    <r>
      <t xml:space="preserve">Aggregating Premium for Individual policies is done almost entirely the same. The only real difference is that premium is used instead of exposures. Also, for in-force premium, it's important to use the </t>
    </r>
    <r>
      <rPr>
        <i/>
        <u/>
        <sz val="12"/>
        <color theme="1"/>
        <rFont val="Calibri"/>
        <family val="2"/>
      </rPr>
      <t>full-term</t>
    </r>
    <r>
      <rPr>
        <sz val="12"/>
        <color theme="1"/>
        <rFont val="Calibri"/>
        <family val="2"/>
      </rPr>
      <t xml:space="preserve"> premium for the policy that is in-force at the as of date. </t>
    </r>
  </si>
  <si>
    <t>Calculate the appropriate on-level factors for Policy Years 2020-2022.</t>
  </si>
  <si>
    <t>Part a – Calendar Year Parallelogram Method</t>
  </si>
  <si>
    <t>Determine the rate level groups based on the rate change history and calculate the cumulative rate level index for each group.</t>
  </si>
  <si>
    <t>Calculate the weighted average cumulative rate level index for each year.</t>
  </si>
  <si>
    <t>Apply the on-level factor to the earned premium for the appropriate year to calculate the on-level earned premium.</t>
  </si>
  <si>
    <t>Part b – Policy Year Parallelogram Method</t>
  </si>
  <si>
    <t>Rate Level</t>
  </si>
  <si>
    <t>Group</t>
  </si>
  <si>
    <t>Effective</t>
  </si>
  <si>
    <t>Date</t>
  </si>
  <si>
    <t>Level Index</t>
  </si>
  <si>
    <t>Cum. Rate</t>
  </si>
  <si>
    <t>Initial</t>
  </si>
  <si>
    <t>Calendar</t>
  </si>
  <si>
    <t>CRL Index</t>
  </si>
  <si>
    <t>Portion of EP in Each Rate Level Group</t>
  </si>
  <si>
    <t>Average</t>
  </si>
  <si>
    <t>Calculate the portion of each calendar year's earned premium that was earned during each rate level group. Use a calendar year earned premium diagram with the rate changes to help with this.</t>
  </si>
  <si>
    <t>On-Level</t>
  </si>
  <si>
    <t>Factor</t>
  </si>
  <si>
    <t>Earned Prem</t>
  </si>
  <si>
    <t>Average CRL Index = SUMPRODUCT( %EP in rate level groups , CRL Indices of rate level groups )</t>
  </si>
  <si>
    <t>Calculate the on-level factor for each year as the cumulative rate level index for the current group divided by the weighted average rate level index for the year.</t>
  </si>
  <si>
    <r>
      <t xml:space="preserve">Note: </t>
    </r>
    <r>
      <rPr>
        <sz val="12"/>
        <color theme="1"/>
        <rFont val="Calibri"/>
        <family val="2"/>
      </rPr>
      <t xml:space="preserve">Make sure to use the CRL Index for the current </t>
    </r>
    <r>
      <rPr>
        <i/>
        <u/>
        <sz val="12"/>
        <color theme="1"/>
        <rFont val="Calibri"/>
        <family val="2"/>
      </rPr>
      <t>rate level group</t>
    </r>
    <r>
      <rPr>
        <sz val="12"/>
        <color theme="1"/>
        <rFont val="Calibri"/>
        <family val="2"/>
      </rPr>
      <t xml:space="preserve"> (1.131 for group 4 here), not the weighted average CRL index for the latest historical year.</t>
    </r>
  </si>
  <si>
    <t>Earned Premium</t>
  </si>
  <si>
    <t>Redo steps 2-4 to get the on-level factors for policy years. The key difference is that the portion of each policy year's earned premium in the rate level groups will be different than for calendar year. Use a policy year earned premium diagram to help.</t>
  </si>
  <si>
    <t>Problem Variations</t>
  </si>
  <si>
    <t>Two Problems with the Parallelogram Method</t>
  </si>
  <si>
    <t>Calendar Year Parallelogram Method for 6-Month Policies</t>
  </si>
  <si>
    <t>Rate Changes Affecting Policies Midterm (Mandated by Law)</t>
  </si>
  <si>
    <t>2a</t>
  </si>
  <si>
    <t>2b</t>
  </si>
  <si>
    <t>3a</t>
  </si>
  <si>
    <t>3b</t>
  </si>
  <si>
    <r>
      <rPr>
        <i/>
        <u/>
        <sz val="12"/>
        <color theme="1"/>
        <rFont val="Calibri"/>
        <family val="2"/>
      </rPr>
      <t>After</t>
    </r>
    <r>
      <rPr>
        <sz val="12"/>
        <color theme="1"/>
        <rFont val="Calibri"/>
        <family val="2"/>
      </rPr>
      <t xml:space="preserve"> midterm rate change</t>
    </r>
  </si>
  <si>
    <r>
      <rPr>
        <i/>
        <u/>
        <sz val="12"/>
        <color theme="1"/>
        <rFont val="Calibri"/>
        <family val="2"/>
      </rPr>
      <t>Before</t>
    </r>
    <r>
      <rPr>
        <sz val="12"/>
        <color theme="1"/>
        <rFont val="Calibri"/>
        <family val="2"/>
      </rPr>
      <t xml:space="preserve"> midterm rate change</t>
    </r>
  </si>
  <si>
    <t>For policy years with 6-month terms, you get the same answer as in part b of the problem above. The diagram will look a different since policy years are fully earned after only 18 months, but the portion of earned premium in each rate level group is the same. You can set up an earned premium diagram to see why.</t>
  </si>
  <si>
    <t>A rate change mandated by law that affects ALL policies on or after the a specific date, including in-force policies, must be handled differently. It's represented as a vertical line on an earned premium diagram and will split one or more rate level groups. 
Be careful when calculating the cumulative rate level indexes and the portion of earned premium in each group and sub-group.</t>
  </si>
  <si>
    <t>Example:</t>
  </si>
  <si>
    <t>Calculate the on-level factors for the same problem as part a, but with a mandated rate change of -4% on 1/1/22 affecting all policies midterm.</t>
  </si>
  <si>
    <r>
      <t xml:space="preserve">For 6-month policies, rate changes are fully realized over 6 months instead of 12 months. To on-level calendar year earned premium, make sure to calculate the portion of earned premium in each rate level group correctly (step 2) since the geometry is different.
</t>
    </r>
    <r>
      <rPr>
        <b/>
        <sz val="12"/>
        <color theme="1"/>
        <rFont val="Calibri"/>
        <family val="2"/>
      </rPr>
      <t>Example:</t>
    </r>
    <r>
      <rPr>
        <sz val="12"/>
        <color theme="1"/>
        <rFont val="Calibri"/>
        <family val="2"/>
      </rPr>
      <t xml:space="preserve">
For the same problem above, assuming all policies have 6-month terms, this is how to solve for the on-level factors:</t>
    </r>
  </si>
  <si>
    <t>Use SUMPRODUCT( ) to help calculate the weighted average rate level index for each year:
Average CRL Index = SUMPRODUCT( %EP in rate level groups , CRL Indices of rate level groups )
It is possible to set up formulas to directly calculate the portion of earned premium in each rate level group using YEARFRAC( start date, end date ) formulas and the rate level effective dates. However, it requires complicated Excel formulas that are tricky to set up. On an exam, I think it's faster to sketch a quick diagram on scratch paper and use geometry as shown above.</t>
  </si>
  <si>
    <t>There are three main ways a parallelogram method can be modified:
• Calendar year vs. policy year (or months/quarters)
• 12-Month vs. 6-Month policy terms
• Rate changes affect: policies written after the change vs. policies midterm
For each variation, the same general approach as above is used with some modification.</t>
  </si>
  <si>
    <t>The parallelogram method works at the aggregate level to adjust historical premium to current rate level. This is a significant difference compared to the Extension of Exposures method which rerates all policies to current rates at the policy level.
The tricky part in a parallelogram method problem is calculating the portion of earned premium in each rate level group. For policy years, this is easy for normal rate changes, but it requires some geometry for calendar year on-leveling. I would sketch a quick earned premium diagram to help and avoid mistakes.</t>
  </si>
  <si>
    <t>Quarter</t>
  </si>
  <si>
    <t>2022 Q1</t>
  </si>
  <si>
    <t>2022 Q2</t>
  </si>
  <si>
    <t>2022 Q3</t>
  </si>
  <si>
    <t>2022 Q4</t>
  </si>
  <si>
    <t>2023 Q1</t>
  </si>
  <si>
    <t>2023 Q2</t>
  </si>
  <si>
    <t>2023 Q3</t>
  </si>
  <si>
    <t>2023 Q4</t>
  </si>
  <si>
    <t>Written</t>
  </si>
  <si>
    <t>Premium</t>
  </si>
  <si>
    <t>Earning Pattern</t>
  </si>
  <si>
    <t>% Earned</t>
  </si>
  <si>
    <t>Q1</t>
  </si>
  <si>
    <t>Q2</t>
  </si>
  <si>
    <t>Q3</t>
  </si>
  <si>
    <t>Q4</t>
  </si>
  <si>
    <t>Year and</t>
  </si>
  <si>
    <t>• Policies are written uniformly during each quarter</t>
  </si>
  <si>
    <t>• There are no policy cancellations or modifications</t>
  </si>
  <si>
    <t>($000)</t>
  </si>
  <si>
    <t>• All policies are annual</t>
  </si>
  <si>
    <t>Given the following for an insurer writing Recreational Vehicle (RV) insurance as of 3/31/2024:</t>
  </si>
  <si>
    <t>• The company began writing the RV line of business on 1/1/22</t>
  </si>
  <si>
    <t>Part a – Earned premium with uneven earning pattern</t>
  </si>
  <si>
    <t>Part b – Unearned premium with uneven earning pattern</t>
  </si>
  <si>
    <t>CAS Fall 2019 - 1</t>
  </si>
  <si>
    <t>Earned</t>
  </si>
  <si>
    <t>Notes:</t>
  </si>
  <si>
    <r>
      <t xml:space="preserve">For </t>
    </r>
    <r>
      <rPr>
        <b/>
        <i/>
        <u/>
        <sz val="12"/>
        <color theme="1"/>
        <rFont val="Calibri"/>
        <family val="2"/>
      </rPr>
      <t>Policy Year</t>
    </r>
    <r>
      <rPr>
        <b/>
        <sz val="12"/>
        <color theme="1"/>
        <rFont val="Calibri"/>
        <family val="2"/>
      </rPr>
      <t xml:space="preserve">, earned exposure is based on the portion of the policy term used up </t>
    </r>
    <r>
      <rPr>
        <b/>
        <i/>
        <u/>
        <sz val="12"/>
        <color theme="1"/>
        <rFont val="Calibri"/>
        <family val="2"/>
      </rPr>
      <t>by the as of date</t>
    </r>
    <r>
      <rPr>
        <b/>
        <sz val="12"/>
        <color theme="1"/>
        <rFont val="Calibri"/>
        <family val="2"/>
      </rPr>
      <t xml:space="preserve"> and contributes to the policy year corresponding to the policy effective date.</t>
    </r>
  </si>
  <si>
    <t>9 months earned by the as of date of 12/31/22</t>
  </si>
  <si>
    <t>i. Calendar year and quarter</t>
  </si>
  <si>
    <t>ii. Policy year and quarter</t>
  </si>
  <si>
    <r>
      <t xml:space="preserve">Calculate the 2022 and 2023 </t>
    </r>
    <r>
      <rPr>
        <b/>
        <sz val="12"/>
        <color theme="1"/>
        <rFont val="Calibri"/>
        <family val="2"/>
        <scheme val="minor"/>
      </rPr>
      <t>earned premium</t>
    </r>
    <r>
      <rPr>
        <sz val="12"/>
        <color theme="1"/>
        <rFont val="Calibri"/>
        <family val="2"/>
        <scheme val="minor"/>
      </rPr>
      <t xml:space="preserve"> as of 3/31/2024 both aggregated by: </t>
    </r>
  </si>
  <si>
    <t>By 3/31/24, all policies written on or before 3/31/23 have been fully earned and expired.</t>
  </si>
  <si>
    <t>2023 Q2 - By 3/31/24, this policy block has been exposed for 50% of 2023 Q2 and 100% of 2023 Q3, Q4 and 2024 Q1.</t>
  </si>
  <si>
    <t>2023 Q3 - By 3/31/24, this policy block has been exposed for 50% of 2023 Q3 and 100% of 2023 Q4 and 2024 Q1.</t>
  </si>
  <si>
    <t>2022 Q1 - 2022 Q1 written premium is exposed for 50% of Q1.</t>
  </si>
  <si>
    <t>2022 Q2 - 2022 Q1 written premium is exposed for 100% of Q2 and 2022 Q2 written premium is exposed for 50% of Q2.</t>
  </si>
  <si>
    <t>2022 Q3 - 2022 Q1 &amp; Q2 written premium is exposed for 100% of Q3 and 2022 Q3 written premium is exposed for 50% of Q3.</t>
  </si>
  <si>
    <t>Policy Quarter Earned Premium as of 3/31/24</t>
  </si>
  <si>
    <t>Calendar Quarter Earned Premium</t>
  </si>
  <si>
    <t>i. Calendar year</t>
  </si>
  <si>
    <t>ii. Policy year</t>
  </si>
  <si>
    <r>
      <t xml:space="preserve">For </t>
    </r>
    <r>
      <rPr>
        <b/>
        <i/>
        <u/>
        <sz val="12"/>
        <color theme="1"/>
        <rFont val="Calibri"/>
        <family val="2"/>
      </rPr>
      <t>policy quarter</t>
    </r>
    <r>
      <rPr>
        <b/>
        <sz val="12"/>
        <color theme="1"/>
        <rFont val="Calibri"/>
        <family val="2"/>
      </rPr>
      <t xml:space="preserve">, calculate earned premium as the written premium that is earned </t>
    </r>
    <r>
      <rPr>
        <b/>
        <i/>
        <u/>
        <sz val="12"/>
        <color theme="1"/>
        <rFont val="Calibri"/>
        <family val="2"/>
      </rPr>
      <t>by the as of date</t>
    </r>
    <r>
      <rPr>
        <b/>
        <sz val="12"/>
        <color theme="1"/>
        <rFont val="Calibri"/>
        <family val="2"/>
      </rPr>
      <t xml:space="preserve"> based on the earning pattern </t>
    </r>
    <r>
      <rPr>
        <b/>
        <i/>
        <u/>
        <sz val="12"/>
        <color theme="1"/>
        <rFont val="Calibri"/>
        <family val="2"/>
      </rPr>
      <t>for policies effective during the quarter</t>
    </r>
    <r>
      <rPr>
        <b/>
        <sz val="12"/>
        <color theme="1"/>
        <rFont val="Calibri"/>
        <family val="2"/>
      </rPr>
      <t>. With blocks of premium (or exposures), treat the policies as if they were written at the mid-point of the time period.</t>
    </r>
  </si>
  <si>
    <r>
      <t xml:space="preserve">For </t>
    </r>
    <r>
      <rPr>
        <b/>
        <i/>
        <u/>
        <sz val="12"/>
        <color theme="1"/>
        <rFont val="Calibri"/>
        <family val="2"/>
      </rPr>
      <t>Calendar Year</t>
    </r>
    <r>
      <rPr>
        <b/>
        <sz val="12"/>
        <color theme="1"/>
        <rFont val="Calibri"/>
        <family val="2"/>
      </rPr>
      <t>, unearned premium is the difference between written premium and earned premium for a given calendar year plus unearned premium as of the beginning of the calendar year.</t>
    </r>
  </si>
  <si>
    <r>
      <t xml:space="preserve">Calculate the 2022 and 2023 </t>
    </r>
    <r>
      <rPr>
        <b/>
        <sz val="12"/>
        <color theme="1"/>
        <rFont val="Calibri"/>
        <family val="2"/>
        <scheme val="minor"/>
      </rPr>
      <t>unearned premium</t>
    </r>
    <r>
      <rPr>
        <sz val="12"/>
        <color theme="1"/>
        <rFont val="Calibri"/>
        <family val="2"/>
        <scheme val="minor"/>
      </rPr>
      <t xml:space="preserve"> as of 3/31/2024 both aggregated by: </t>
    </r>
  </si>
  <si>
    <t>Note:</t>
  </si>
  <si>
    <t>The company started writing RV policies on 1/1/22, so there is no unearned premium at the beginning of CY 2022.</t>
  </si>
  <si>
    <t>Unearned</t>
  </si>
  <si>
    <r>
      <t xml:space="preserve">For </t>
    </r>
    <r>
      <rPr>
        <b/>
        <i/>
        <u/>
        <sz val="12"/>
        <color theme="1"/>
        <rFont val="Calibri"/>
        <family val="2"/>
      </rPr>
      <t>Policy Year</t>
    </r>
    <r>
      <rPr>
        <b/>
        <sz val="12"/>
        <color theme="1"/>
        <rFont val="Calibri"/>
        <family val="2"/>
      </rPr>
      <t>, unearned premium is the difference between written premium and earned premium for a given policy year evaluated at the as of date.</t>
    </r>
  </si>
  <si>
    <t>⇽ By 3/31/24, all 2022 policies have been fully earned</t>
  </si>
  <si>
    <r>
      <t xml:space="preserve">For </t>
    </r>
    <r>
      <rPr>
        <b/>
        <i/>
        <u/>
        <sz val="12"/>
        <color theme="1"/>
        <rFont val="Calibri"/>
        <family val="2"/>
      </rPr>
      <t>calendar quarter</t>
    </r>
    <r>
      <rPr>
        <b/>
        <sz val="12"/>
        <color theme="1"/>
        <rFont val="Calibri"/>
        <family val="2"/>
      </rPr>
      <t>, calculate the earned premium as the exposed written premium that is earned during the quarter based on the earning pattern. With blocks of premium (or exposures), treat the policies as if they were written at the mid-point of the time period.</t>
    </r>
  </si>
  <si>
    <t>Ratemaking - Uneven Earning Pattern</t>
  </si>
  <si>
    <t>Ratemaking - Parallelogram Method</t>
  </si>
  <si>
    <t>Ratemaking - Aggregating Exposures</t>
  </si>
  <si>
    <t>Ratemaking - Extension of Exposures</t>
  </si>
  <si>
    <t>Ratemaking - Aggregating Blocks of Exposures</t>
  </si>
  <si>
    <t>Given the following written exposures for a company summarized by month as of 3/31/24:</t>
  </si>
  <si>
    <t>Month</t>
  </si>
  <si>
    <t>Exposures</t>
  </si>
  <si>
    <t>Assumed</t>
  </si>
  <si>
    <t>• All policies have an annual policy term</t>
  </si>
  <si>
    <t>Calendar Year 2023</t>
  </si>
  <si>
    <t xml:space="preserve">Calendar Year 2023 Earned Premium = </t>
  </si>
  <si>
    <t>For the %Earned, start with the first %Earned (=23/24 for January 2023) and subtract 1/12 for each subsequent value. This is much quicker than manually typing in 23/24, 21/24, 19/24… for the whole series.</t>
  </si>
  <si>
    <t xml:space="preserve">For policy year, calculate earned exposures for a block of policies between the mid-point of the time period and the as-of date. </t>
  </si>
  <si>
    <t>Calculate the earned exposures for calendar year 2023 and policy year 2023 as of 3/31/24.</t>
  </si>
  <si>
    <t>Policy Year 2023</t>
  </si>
  <si>
    <t xml:space="preserve">Policy Year 2023 Earned Premium = </t>
  </si>
  <si>
    <r>
      <rPr>
        <sz val="12"/>
        <color theme="1"/>
        <rFont val="Calibri"/>
        <family val="2"/>
      </rPr>
      <t xml:space="preserve">Mar-23 policies and prior are 100% earned </t>
    </r>
    <r>
      <rPr>
        <i/>
        <u/>
        <sz val="12"/>
        <color theme="1"/>
        <rFont val="Calibri"/>
        <family val="2"/>
      </rPr>
      <t>by 3/31/24</t>
    </r>
    <r>
      <rPr>
        <sz val="12"/>
        <color theme="1"/>
        <rFont val="Calibri"/>
        <family val="2"/>
      </rPr>
      <t>.</t>
    </r>
  </si>
  <si>
    <t>Apr-23 policies have an assumed effective date of 4/15/23 and have a % earned of ( =23/24 ) by 3/31/24.</t>
  </si>
  <si>
    <t>• Assume no policies were written prior to 1/1/23.</t>
  </si>
  <si>
    <r>
      <t xml:space="preserve">Calculate earned exposures for a block of policies </t>
    </r>
    <r>
      <rPr>
        <b/>
        <i/>
        <u/>
        <sz val="12"/>
        <color theme="1"/>
        <rFont val="Calibri"/>
        <family val="2"/>
      </rPr>
      <t>as if</t>
    </r>
    <r>
      <rPr>
        <b/>
        <sz val="12"/>
        <color theme="1"/>
        <rFont val="Calibri"/>
        <family val="2"/>
      </rPr>
      <t xml:space="preserve"> the entire block was written on the mid-point of the time period. This is the assumed effective date. Determine the % earned as the portion of the year between the assumed effective date and the end of the calendar year.</t>
    </r>
  </si>
  <si>
    <t>Werner Ratemaking - pg. 60-61</t>
  </si>
  <si>
    <t>As long as policies are uniformly written during each time period, this method is a good approximation. The longer the time periods (quarters or years), the less likely that this assumption is appropriate. 
This approach is necessary if data is summarized. With greater computational power these days, it's more realistic to aggregate exposures looking at the individual policy data. That would be more accurate than using blocks of exposures.
Note that aggregating premium using blocks of policies is done the same way as above, just with premium numbers.</t>
  </si>
  <si>
    <t>Ratemaking - Premium Development</t>
  </si>
  <si>
    <t xml:space="preserve"> </t>
  </si>
  <si>
    <t>24 months</t>
  </si>
  <si>
    <t>36 months</t>
  </si>
  <si>
    <t>48 months</t>
  </si>
  <si>
    <t>12 months</t>
  </si>
  <si>
    <t>Calculate the estimated ultimate earned premium for by policy year for years 2018 - 2022.</t>
  </si>
  <si>
    <t>12-24</t>
  </si>
  <si>
    <t>24-36</t>
  </si>
  <si>
    <t>36-48</t>
  </si>
  <si>
    <t>Weighted Average</t>
  </si>
  <si>
    <t>Selected</t>
  </si>
  <si>
    <t>All-Year Average</t>
  </si>
  <si>
    <t>as of 12/31/23</t>
  </si>
  <si>
    <t>Ultimate</t>
  </si>
  <si>
    <t>Age-to-Ult</t>
  </si>
  <si>
    <t>Age-to-Ultimate Factor</t>
  </si>
  <si>
    <t>12-Ult</t>
  </si>
  <si>
    <t>24-Ult</t>
  </si>
  <si>
    <t>36-Ult</t>
  </si>
  <si>
    <t>• Premium audits are performed between 3 and 6 months after policies expire.</t>
  </si>
  <si>
    <t>• All policies have an annual policy term.</t>
  </si>
  <si>
    <t>Age-to-Age Factors</t>
  </si>
  <si>
    <t>Calculate the age-to-age development factors (link ratios) for the premium development triangle.</t>
  </si>
  <si>
    <t>Calculate the age-to-ultimate development factors for each maturity period as the product of the age-to-age factors between the maturity period and ultimate.</t>
  </si>
  <si>
    <t>Apply the appropriate age-to-ultimate development factor to the premium for each policy year to estimate ultimate premium.</t>
  </si>
  <si>
    <t>2018 and 2019 are already at ultimate (48 months here), so their age-to-ultimate factor is set to 1.</t>
  </si>
  <si>
    <t>Given the following for a workers compensation insurer as of 12/31/22:</t>
  </si>
  <si>
    <t>Select a suitable link ratio for each development period based on how development is expected to occur in the future. Reviewing various averages can help with selection. There's no single "correct" selection, but the selection should be reasonable.</t>
  </si>
  <si>
    <t>Year Ending</t>
  </si>
  <si>
    <t>Quarter - X</t>
  </si>
  <si>
    <t>2019 - 1Q</t>
  </si>
  <si>
    <t>2019 - 2Q</t>
  </si>
  <si>
    <t>2020 - 1Q</t>
  </si>
  <si>
    <t>2020 - 2Q</t>
  </si>
  <si>
    <t>2020 - 3Q</t>
  </si>
  <si>
    <t>2020 - 4Q</t>
  </si>
  <si>
    <t>2021 - 3Q</t>
  </si>
  <si>
    <t>2021 - 4Q</t>
  </si>
  <si>
    <t>2021 - 1Q</t>
  </si>
  <si>
    <t>2021 - 2Q</t>
  </si>
  <si>
    <t>• The proposed rates are expected to be in effect for one year</t>
  </si>
  <si>
    <t>2019 - 3Q</t>
  </si>
  <si>
    <t>2019 - 4Q</t>
  </si>
  <si>
    <t>Earned Premium 
at CRL</t>
  </si>
  <si>
    <t>Calculate the annual changes in average written premium and select an appropriate trend factor to adjust historical premium to projected levels. Fitting an exponential or linear trend may help, but isn't necessary if the annual changes are consistent.</t>
  </si>
  <si>
    <t>Written Prem</t>
  </si>
  <si>
    <t>at CRL</t>
  </si>
  <si>
    <t>Annual</t>
  </si>
  <si>
    <t>Change</t>
  </si>
  <si>
    <t>-</t>
  </si>
  <si>
    <t>Premium Trend Factor</t>
  </si>
  <si>
    <t>Projected Earned Prem at CRL</t>
  </si>
  <si>
    <t>Trend</t>
  </si>
  <si>
    <t>Period</t>
  </si>
  <si>
    <r>
      <t xml:space="preserve">Calculate the average written premium per exposure </t>
    </r>
    <r>
      <rPr>
        <b/>
        <i/>
        <u/>
        <sz val="12"/>
        <color theme="1"/>
        <rFont val="Calibri"/>
        <family val="2"/>
      </rPr>
      <t>at current rate level</t>
    </r>
    <r>
      <rPr>
        <b/>
        <sz val="12"/>
        <color theme="1"/>
        <rFont val="Calibri"/>
        <family val="2"/>
      </rPr>
      <t xml:space="preserve"> for the quarterly premium data.</t>
    </r>
  </si>
  <si>
    <t>Exposure Trend</t>
  </si>
  <si>
    <t>Factors That Impact Trend Period Length</t>
  </si>
  <si>
    <r>
      <t xml:space="preserve">In addition to adjusting premium to current rate level, it's important to adjust the historical on-level premium to expected levels during the </t>
    </r>
    <r>
      <rPr>
        <i/>
        <u/>
        <sz val="12"/>
        <color theme="1"/>
        <rFont val="Calibri"/>
        <family val="2"/>
      </rPr>
      <t>future time period</t>
    </r>
    <r>
      <rPr>
        <sz val="12"/>
        <color theme="1"/>
        <rFont val="Calibri"/>
        <family val="2"/>
      </rPr>
      <t xml:space="preserve"> due to premium trend. 
Premium trend reflects how average written premium levels change over time due to distributional changes in a book's mix of business. 
</t>
    </r>
    <r>
      <rPr>
        <sz val="10"/>
        <color theme="1"/>
        <rFont val="Calibri"/>
        <family val="2"/>
      </rPr>
      <t xml:space="preserve"> </t>
    </r>
    <r>
      <rPr>
        <sz val="12"/>
        <color theme="1"/>
        <rFont val="Calibri"/>
        <family val="2"/>
      </rPr>
      <t xml:space="preserve">
</t>
    </r>
  </si>
  <si>
    <t>One-Step Premium Trend</t>
  </si>
  <si>
    <t>If the exposure base is inflation-sensitive (like payroll for workers compensation), then average premium can change over time due to inflation in the exposure base. For lines of business with inflation-sensitive exposure bases, an exposure trend is used to project future exposures (and therefore premium) to future levels. 
This isn't discussed further in the text, but you can see an example of it in appendix D. The adjustment is very similar to premium trend.</t>
  </si>
  <si>
    <t>• The proposed effective date for the rate change is:</t>
  </si>
  <si>
    <t>• The proposed rates are expected to be in effect for 12 months</t>
  </si>
  <si>
    <t>Calculate the projected earned premium at current rate level for years 2017-2021 using the two-step premium trend method.</t>
  </si>
  <si>
    <t>Calculate the projected earned premium at current rate level for years 2019-2021 using the one-step premium trend method.</t>
  </si>
  <si>
    <r>
      <t xml:space="preserve">[Step 1 - Current Trend Factor] Calculate the current premium trend factor to adjust each year's historical earned premium </t>
    </r>
    <r>
      <rPr>
        <b/>
        <i/>
        <u/>
        <sz val="12"/>
        <color theme="1"/>
        <rFont val="Calibri"/>
        <family val="2"/>
      </rPr>
      <t>at current rate level</t>
    </r>
    <r>
      <rPr>
        <b/>
        <sz val="12"/>
        <color theme="1"/>
        <rFont val="Calibri"/>
        <family val="2"/>
      </rPr>
      <t xml:space="preserve"> to the average premium level of the latest point in the written premium trend data.</t>
    </r>
  </si>
  <si>
    <r>
      <t xml:space="preserve">Determine the trend period for the projected trend factor. The projected trend period is the time from the </t>
    </r>
    <r>
      <rPr>
        <b/>
        <i/>
        <u/>
        <sz val="12"/>
        <color theme="1"/>
        <rFont val="Calibri"/>
        <family val="2"/>
      </rPr>
      <t>average written date of the latest point in the trend data</t>
    </r>
    <r>
      <rPr>
        <b/>
        <sz val="12"/>
        <color theme="1"/>
        <rFont val="Calibri"/>
        <family val="2"/>
      </rPr>
      <t xml:space="preserve"> to the </t>
    </r>
    <r>
      <rPr>
        <b/>
        <i/>
        <u/>
        <sz val="12"/>
        <color theme="1"/>
        <rFont val="Calibri"/>
        <family val="2"/>
      </rPr>
      <t>average written date for the effective period</t>
    </r>
    <r>
      <rPr>
        <b/>
        <sz val="12"/>
        <color theme="1"/>
        <rFont val="Calibri"/>
        <family val="2"/>
      </rPr>
      <t xml:space="preserve"> of the proposed rates.</t>
    </r>
  </si>
  <si>
    <r>
      <t xml:space="preserve">Determine the trend period for each calendar year of premium. The trend period is the time from the </t>
    </r>
    <r>
      <rPr>
        <b/>
        <i/>
        <u/>
        <sz val="12"/>
        <color theme="1"/>
        <rFont val="Calibri"/>
        <family val="2"/>
      </rPr>
      <t>average written date of policies earned during the experience period</t>
    </r>
    <r>
      <rPr>
        <b/>
        <sz val="12"/>
        <color theme="1"/>
        <rFont val="Calibri"/>
        <family val="2"/>
      </rPr>
      <t xml:space="preserve"> to the </t>
    </r>
    <r>
      <rPr>
        <b/>
        <i/>
        <u/>
        <sz val="12"/>
        <color theme="1"/>
        <rFont val="Calibri"/>
        <family val="2"/>
      </rPr>
      <t>average written date for the effective period</t>
    </r>
    <r>
      <rPr>
        <b/>
        <sz val="12"/>
        <color theme="1"/>
        <rFont val="Calibri"/>
        <family val="2"/>
      </rPr>
      <t xml:space="preserve"> of the proposed rates.</t>
    </r>
  </si>
  <si>
    <t>[Step 2 - Projected Trend Factor] Calculate the projected trend factor using the projected annual premium trend and the projected trend period.</t>
  </si>
  <si>
    <t>Calculate the total premium trend factor as the product of the current trend factor and the projected trend factor. Apply it to the calendar year earned premium to calculate the projected earned premium at current rate level.</t>
  </si>
  <si>
    <r>
      <t xml:space="preserve">Calculate the average written premium per exposure </t>
    </r>
    <r>
      <rPr>
        <b/>
        <i/>
        <u/>
        <sz val="12"/>
        <color theme="1"/>
        <rFont val="Calibri"/>
        <family val="2"/>
      </rPr>
      <t>at current rate level</t>
    </r>
    <r>
      <rPr>
        <b/>
        <sz val="12"/>
        <color theme="1"/>
        <rFont val="Calibri"/>
        <family val="2"/>
      </rPr>
      <t xml:space="preserve"> for the quarterly premium data for the latest point in the written premium trend data.</t>
    </r>
  </si>
  <si>
    <t xml:space="preserve">Latest Avg WP at CRL = </t>
  </si>
  <si>
    <t>Trend Factor</t>
  </si>
  <si>
    <t>Current</t>
  </si>
  <si>
    <t xml:space="preserve">Projected Trend Factor = </t>
  </si>
  <si>
    <t xml:space="preserve">Projected premium trend = </t>
  </si>
  <si>
    <t>(Step 1)</t>
  </si>
  <si>
    <t>(Step 2)</t>
  </si>
  <si>
    <t>Projected</t>
  </si>
  <si>
    <r>
      <t xml:space="preserve">The two-step trending method for premium trend should be used instead of the one-step method in situations where the historical premium trend has been significantly different from what is expected to occur in the future. This allows us to separately adjust the historical earned premium data to current average premium levels (step 1) and then apply a different trend into the projected period to reflect anticipated future changes to average premiums. 
</t>
    </r>
    <r>
      <rPr>
        <sz val="10"/>
        <color theme="1"/>
        <rFont val="Calibri"/>
        <family val="2"/>
      </rPr>
      <t xml:space="preserve"> </t>
    </r>
    <r>
      <rPr>
        <sz val="12"/>
        <color theme="1"/>
        <rFont val="Calibri"/>
        <family val="2"/>
      </rPr>
      <t xml:space="preserve">
</t>
    </r>
  </si>
  <si>
    <t>Alternative Approach for the Current Trend Factor</t>
  </si>
  <si>
    <t xml:space="preserve">Latest Average Written Date = </t>
  </si>
  <si>
    <t xml:space="preserve">Average Written Date for Effective Period = </t>
  </si>
  <si>
    <t xml:space="preserve">Projected Trend Period = </t>
  </si>
  <si>
    <r>
      <t xml:space="preserve">The basic one-step trending approach involves selecting a premium trend based on historical changes in average written premium per exposure and applying it to the experience period premium.
Written premium </t>
    </r>
    <r>
      <rPr>
        <i/>
        <u/>
        <sz val="12"/>
        <color theme="1"/>
        <rFont val="Calibri"/>
        <family val="2"/>
      </rPr>
      <t>at current rate level</t>
    </r>
    <r>
      <rPr>
        <sz val="12"/>
        <color theme="1"/>
        <rFont val="Calibri"/>
        <family val="2"/>
      </rPr>
      <t xml:space="preserve"> should be used. It's best to use </t>
    </r>
    <r>
      <rPr>
        <i/>
        <u/>
        <sz val="12"/>
        <color theme="1"/>
        <rFont val="Calibri"/>
        <family val="2"/>
      </rPr>
      <t>quarterly written premium</t>
    </r>
    <r>
      <rPr>
        <sz val="12"/>
        <color theme="1"/>
        <rFont val="Calibri"/>
        <family val="2"/>
      </rPr>
      <t xml:space="preserve"> for responsiveness and 12-month rolling periods are often used. For example, written premium for the year ending 2019 Q2 includes written premium between 7/1/18 and 6/30/19. See the exhibits in the appendix. 
Determining the correct trend period length is critical. The trend period is the length of time from the </t>
    </r>
    <r>
      <rPr>
        <i/>
        <u/>
        <sz val="12"/>
        <color theme="1"/>
        <rFont val="Calibri"/>
        <family val="2"/>
      </rPr>
      <t>average written date of policies underlying the historical earned premium to the average written date of policies effective with the new rates.</t>
    </r>
    <r>
      <rPr>
        <sz val="12"/>
        <color theme="1"/>
        <rFont val="Calibri"/>
        <family val="2"/>
      </rPr>
      <t xml:space="preserve">
The one-step approach may not be appropriate when changes in average premium vary significantly year-by-year or when historical average premium changes differ from expected future changes. In such cases, a two-step trending approach is more appropriate.
</t>
    </r>
  </si>
  <si>
    <t>⇽ All policies are 6-month polices (see EP diagram)</t>
  </si>
  <si>
    <t xml:space="preserve">Average written date of policies earned in CY 2021 = </t>
  </si>
  <si>
    <t>Latest Average Written Date  =</t>
  </si>
  <si>
    <t>The current trend period for CY 2021 =</t>
  </si>
  <si>
    <t>⇽ 4/1/21 to 11/15/21</t>
  </si>
  <si>
    <t xml:space="preserve">Current Trend Factor for CY 2021 = </t>
  </si>
  <si>
    <t>The projected trend factor would be the same as before.</t>
  </si>
  <si>
    <t>Claim</t>
  </si>
  <si>
    <t>Accident</t>
  </si>
  <si>
    <t>Report</t>
  </si>
  <si>
    <t>Transaction</t>
  </si>
  <si>
    <t>Payment</t>
  </si>
  <si>
    <t>Incremental</t>
  </si>
  <si>
    <t>Case</t>
  </si>
  <si>
    <t>Reserve</t>
  </si>
  <si>
    <t>iii. Policy year evaluated as of 12/31/2022</t>
  </si>
  <si>
    <t>iv. Report year evaluated as of 12/31/2022</t>
  </si>
  <si>
    <t>Status</t>
  </si>
  <si>
    <t>Open</t>
  </si>
  <si>
    <t>Closed</t>
  </si>
  <si>
    <t>Reopened</t>
  </si>
  <si>
    <t>Part a – Loss Data Aggregation</t>
  </si>
  <si>
    <t>Calculate the 2020 reported loss aggregated by:</t>
  </si>
  <si>
    <r>
      <t xml:space="preserve">For </t>
    </r>
    <r>
      <rPr>
        <b/>
        <i/>
        <u/>
        <sz val="12"/>
        <color theme="1"/>
        <rFont val="Calibri"/>
        <family val="2"/>
      </rPr>
      <t>Calendar Year</t>
    </r>
    <r>
      <rPr>
        <b/>
        <sz val="12"/>
        <color theme="1"/>
        <rFont val="Calibri"/>
        <family val="2"/>
      </rPr>
      <t xml:space="preserve">, losses are aggregated by </t>
    </r>
    <r>
      <rPr>
        <b/>
        <i/>
        <u/>
        <sz val="12"/>
        <color theme="1"/>
        <rFont val="Calibri"/>
        <family val="2"/>
      </rPr>
      <t>transaction date</t>
    </r>
    <r>
      <rPr>
        <b/>
        <sz val="12"/>
        <color theme="1"/>
        <rFont val="Calibri"/>
        <family val="2"/>
      </rPr>
      <t>, regardless of the policy effective date, accident date, or report date. Calendar year reported loss includes all loss payments in the year plus the change in case reserves over the year. Calendar year losses are fixed at year-end.</t>
    </r>
  </si>
  <si>
    <r>
      <t xml:space="preserve">For </t>
    </r>
    <r>
      <rPr>
        <b/>
        <i/>
        <u/>
        <sz val="12"/>
        <color rgb="FF000000"/>
        <rFont val="Calibri"/>
        <family val="2"/>
        <scheme val="minor"/>
      </rPr>
      <t>Report Year</t>
    </r>
    <r>
      <rPr>
        <b/>
        <sz val="12"/>
        <color rgb="FF000000"/>
        <rFont val="Calibri"/>
        <family val="2"/>
        <scheme val="minor"/>
      </rPr>
      <t xml:space="preserve">, losses are aggregated by </t>
    </r>
    <r>
      <rPr>
        <b/>
        <i/>
        <u/>
        <sz val="12"/>
        <color rgb="FF000000"/>
        <rFont val="Calibri"/>
        <family val="2"/>
        <scheme val="minor"/>
      </rPr>
      <t>report date</t>
    </r>
    <r>
      <rPr>
        <b/>
        <sz val="12"/>
        <color rgb="FF000000"/>
        <rFont val="Calibri"/>
        <family val="2"/>
        <scheme val="minor"/>
      </rPr>
      <t>. Report year is similar to accident year except that losses are aggregated by report date instead of accident date.</t>
    </r>
  </si>
  <si>
    <t>Part b – Cumulative Loss Development Triangle</t>
  </si>
  <si>
    <t xml:space="preserve">Set up a loss triangle with rows by accident year (or policy/report year) and columns at valuation month relative to the start of the year (e.g. 12 months, 24 months, …). </t>
  </si>
  <si>
    <t xml:space="preserve">CY 2020 Reported Loss = </t>
  </si>
  <si>
    <t xml:space="preserve">AY 2020 Reported Loss = </t>
  </si>
  <si>
    <r>
      <t xml:space="preserve">Note: </t>
    </r>
    <r>
      <rPr>
        <sz val="12"/>
        <color theme="1"/>
        <rFont val="Calibri"/>
        <family val="2"/>
      </rPr>
      <t>Only include transactions with a transaction date in 2020. For case reserves, use the difference between the ending case reserve (as of 12/31/2020) and the beginning case reserve (as of 1/1/2020) for the year.</t>
    </r>
  </si>
  <si>
    <t xml:space="preserve">PY 2020 Reported Loss = </t>
  </si>
  <si>
    <t>• The case reserve amounts are the case reserves as of the transaction date.</t>
  </si>
  <si>
    <t xml:space="preserve">RY 2020 Reported Loss = </t>
  </si>
  <si>
    <t>ii. Accident year evaluated as of 12/31/2022</t>
  </si>
  <si>
    <t>12 Months</t>
  </si>
  <si>
    <t>24 Months</t>
  </si>
  <si>
    <t>36 Months</t>
  </si>
  <si>
    <t>48 Months</t>
  </si>
  <si>
    <t>Given the following claims organized by accident date as of 12/31/2023:</t>
  </si>
  <si>
    <t>Build an accident year paid loss cumulative development triangle for accident years 2019-2021 with annual December 31 valuations.</t>
  </si>
  <si>
    <t>Calendar Year Aggregation</t>
  </si>
  <si>
    <t>Accident Year Aggregation</t>
  </si>
  <si>
    <t>Policy Year Aggregation</t>
  </si>
  <si>
    <t>Report Year Aggregation</t>
  </si>
  <si>
    <t>For transactions in the Calendar Year:</t>
  </si>
  <si>
    <t>For policies incepted during the Policy Year:</t>
  </si>
  <si>
    <t>For losses reported during the Report Year:</t>
  </si>
  <si>
    <r>
      <t xml:space="preserve">• </t>
    </r>
    <r>
      <rPr>
        <b/>
        <sz val="12"/>
        <color theme="1"/>
        <rFont val="Calibri"/>
        <family val="2"/>
      </rPr>
      <t>Relevant statistic measured</t>
    </r>
    <r>
      <rPr>
        <sz val="12"/>
        <color theme="1"/>
        <rFont val="Calibri"/>
        <family val="2"/>
      </rPr>
      <t xml:space="preserve"> - Paid or reported loss, earned premium, written exposure, etc.</t>
    </r>
  </si>
  <si>
    <r>
      <t xml:space="preserve">• </t>
    </r>
    <r>
      <rPr>
        <b/>
        <sz val="12"/>
        <color theme="1"/>
        <rFont val="Calibri"/>
        <family val="2"/>
      </rPr>
      <t xml:space="preserve">Data aggregation method </t>
    </r>
    <r>
      <rPr>
        <sz val="12"/>
        <color theme="1"/>
        <rFont val="Calibri"/>
        <family val="2"/>
      </rPr>
      <t>- Calendar, accident, policy, or report year/month/quarter</t>
    </r>
  </si>
  <si>
    <r>
      <t xml:space="preserve">• </t>
    </r>
    <r>
      <rPr>
        <b/>
        <sz val="12"/>
        <color theme="1"/>
        <rFont val="Calibri"/>
        <family val="2"/>
      </rPr>
      <t xml:space="preserve">Time period </t>
    </r>
    <r>
      <rPr>
        <sz val="12"/>
        <color theme="1"/>
        <rFont val="Calibri"/>
        <family val="2"/>
      </rPr>
      <t>- E.g. 2020, Fiscal Year 2022, or 2021 Q1</t>
    </r>
  </si>
  <si>
    <r>
      <t xml:space="preserve">• </t>
    </r>
    <r>
      <rPr>
        <b/>
        <sz val="12"/>
        <color theme="1"/>
        <rFont val="Calibri"/>
        <family val="2"/>
      </rPr>
      <t>Valuation Date</t>
    </r>
    <r>
      <rPr>
        <sz val="12"/>
        <color theme="1"/>
        <rFont val="Calibri"/>
        <family val="2"/>
      </rPr>
      <t xml:space="preserve"> - When the data is evaluated (part of the time period)</t>
    </r>
  </si>
  <si>
    <t>• Mismatch in timing between premium and losses
• May not be appropriate for lines of business where losses are reported and settled relatively slowly.</t>
  </si>
  <si>
    <t xml:space="preserve">• Better match of premium and losses than calendar year aggregation
</t>
  </si>
  <si>
    <t xml:space="preserve">• Data is available quickly and is fixed at year-end
• Requires no additional expense to aggregate
</t>
  </si>
  <si>
    <t>Accident year aggregation includes losses for accidents that occurred during the accident year, regardless of when the policy was issued or the claim was reported. Premium and exposures are the same as calendar year.</t>
  </si>
  <si>
    <t>• Future development on known losses needs to be estimated</t>
  </si>
  <si>
    <t>Policy year aggregation (underwriting year) includes all premium and loss transactions on policies that were written during the year, regardless of when the claim occurred or when it was reported, reserved, or paid. Premium and exposures aren't fixed until after all policies written during the policy year have expired.</t>
  </si>
  <si>
    <t xml:space="preserve">• The best match between losses and premium
</t>
  </si>
  <si>
    <t>• Data takes longer to develop than both calendar year and accident year</t>
  </si>
  <si>
    <t>Report year aggregation is similar to calendar-accident year, except that the losses are aggregated according to when the claim was reported, as opposed to loss occurrence date. It is typically used for claims-made policies.</t>
  </si>
  <si>
    <t>Calendar year aggregation considers all premium and loss transactions that occur during the calendar year regardless of the policy effective date, accident date, or report date. It's most appropriate for lines of business where losses are reported and settled quickly.</t>
  </si>
  <si>
    <t>Werner Ratemaking Ch. 6 - pg. 90-93, 42-44 (advantages/disadvantages)</t>
  </si>
  <si>
    <t>Ratemaking - Extraordinary Losses</t>
  </si>
  <si>
    <t>Reported</t>
  </si>
  <si>
    <t>Losses</t>
  </si>
  <si>
    <t>Number of</t>
  </si>
  <si>
    <t>Excess</t>
  </si>
  <si>
    <t>Ground-Up</t>
  </si>
  <si>
    <t>Excess Losses</t>
  </si>
  <si>
    <t>Given the following loss information for a Homeowners book of business undergoing a ratemaking analysis:</t>
  </si>
  <si>
    <t>Calculate the excess loss factor that should be applied to non-excess losses in the historical experience period of the ratemaking analysis.</t>
  </si>
  <si>
    <t>Calculate the excess ratio for each year as the ratio of the excess losses to non-excess losses.</t>
  </si>
  <si>
    <t>Calculate the excess loss factor based on the weighted-average excess ratio that should be applied to non-excess losses for the ratemaking analysis.</t>
  </si>
  <si>
    <t>Calculate the non-excess reported losses for accident years 2017-2021 loaded with a provision for shock losses that should be used for the ratemaking analysis.</t>
  </si>
  <si>
    <t>Part a – Excess Loss Factor</t>
  </si>
  <si>
    <t>Part b – Adjust Losses for Large Individual Losses</t>
  </si>
  <si>
    <t>Excess Claims</t>
  </si>
  <si>
    <t>Losses Excess</t>
  </si>
  <si>
    <t>Threshold</t>
  </si>
  <si>
    <t>Non-Excess</t>
  </si>
  <si>
    <t>Ratio</t>
  </si>
  <si>
    <t xml:space="preserve">Excess Loss Factor = </t>
  </si>
  <si>
    <t>Number of Excess Claims = COUNTIF( Large Claims, "&gt;"&amp; Threshold )</t>
  </si>
  <si>
    <t>Ground-Up Excess Losses = SUMIF( Large Claims, "&gt;"&amp; Threshold )</t>
  </si>
  <si>
    <t xml:space="preserve">• All losses are trended to future levels </t>
  </si>
  <si>
    <t xml:space="preserve">Calculate the excess and non-excess losses based on the large loss threshold for all accident years. If given a set of large losses, use SUMIF() and COUNTIF() formulas to easily calculate the excess losses. This should be done on trended losses. </t>
  </si>
  <si>
    <t>Excess Loss</t>
  </si>
  <si>
    <t>Adjusted for</t>
  </si>
  <si>
    <t>Apply the excess loss factor to the non-excess losses in the historical experience period to adjust losses for the average expected large loss amount.</t>
  </si>
  <si>
    <t>Catastrophe Losses</t>
  </si>
  <si>
    <t>Reinsurance</t>
  </si>
  <si>
    <t>Setting the Large Loss Threshold</t>
  </si>
  <si>
    <r>
      <t xml:space="preserve">Use the </t>
    </r>
    <r>
      <rPr>
        <b/>
        <sz val="12"/>
        <color theme="1"/>
        <rFont val="Calibri"/>
        <family val="2"/>
      </rPr>
      <t>COUNTIF( range, criteria )</t>
    </r>
    <r>
      <rPr>
        <sz val="12"/>
        <color theme="1"/>
        <rFont val="Calibri"/>
        <family val="2"/>
      </rPr>
      <t xml:space="preserve"> formula to count the number of excess claims and the </t>
    </r>
    <r>
      <rPr>
        <b/>
        <sz val="12"/>
        <color theme="1"/>
        <rFont val="Calibri"/>
        <family val="2"/>
      </rPr>
      <t>SUMIF( range, criteria )</t>
    </r>
    <r>
      <rPr>
        <sz val="12"/>
        <color theme="1"/>
        <rFont val="Calibri"/>
        <family val="2"/>
      </rPr>
      <t xml:space="preserve"> to calculate the ground-up excess losses that exceed the large loss threshold. </t>
    </r>
    <r>
      <rPr>
        <b/>
        <sz val="12"/>
        <color theme="1"/>
        <rFont val="Calibri"/>
        <family val="2"/>
      </rPr>
      <t xml:space="preserve">
IMPORTANT: </t>
    </r>
    <r>
      <rPr>
        <sz val="12"/>
        <color theme="1"/>
        <rFont val="Calibri"/>
        <family val="2"/>
      </rPr>
      <t xml:space="preserve">The setup of the COUNTIF( ) and SUMIF( ) formulas is tricky because they use a logical operator. The correct criteria is: </t>
    </r>
    <r>
      <rPr>
        <b/>
        <sz val="12"/>
        <color rgb="FFFF0000"/>
        <rFont val="Calibri"/>
        <family val="2"/>
      </rPr>
      <t xml:space="preserve">"&gt;"&amp; </t>
    </r>
    <r>
      <rPr>
        <b/>
        <sz val="12"/>
        <color theme="1"/>
        <rFont val="Calibri"/>
        <family val="2"/>
      </rPr>
      <t>Threshold.</t>
    </r>
    <r>
      <rPr>
        <sz val="12"/>
        <color theme="1"/>
        <rFont val="Calibri"/>
        <family val="2"/>
      </rPr>
      <t xml:space="preserve">
For example, full formula is: COUNTIF( Array of Claim Values , </t>
    </r>
    <r>
      <rPr>
        <b/>
        <sz val="12"/>
        <color rgb="FFFF0000"/>
        <rFont val="Calibri"/>
        <family val="2"/>
      </rPr>
      <t>"&gt;"&amp;</t>
    </r>
    <r>
      <rPr>
        <sz val="12"/>
        <color theme="1"/>
        <rFont val="Calibri"/>
        <family val="2"/>
      </rPr>
      <t xml:space="preserve"> Large Loss Threshold )</t>
    </r>
  </si>
  <si>
    <r>
      <t xml:space="preserve">There are two types of extraordinary losses:
• </t>
    </r>
    <r>
      <rPr>
        <b/>
        <sz val="12"/>
        <color theme="1"/>
        <rFont val="Calibri"/>
        <family val="2"/>
      </rPr>
      <t>Large Individual Losses (Shock Losses)</t>
    </r>
    <r>
      <rPr>
        <sz val="12"/>
        <color theme="1"/>
        <rFont val="Calibri"/>
        <family val="2"/>
      </rPr>
      <t xml:space="preserve"> - These are infrequent, large </t>
    </r>
    <r>
      <rPr>
        <i/>
        <u/>
        <sz val="12"/>
        <color theme="1"/>
        <rFont val="Calibri"/>
        <family val="2"/>
      </rPr>
      <t>individual</t>
    </r>
    <r>
      <rPr>
        <sz val="12"/>
        <color theme="1"/>
        <rFont val="Calibri"/>
        <family val="2"/>
      </rPr>
      <t xml:space="preserve"> losses that occur with some regularity. Examples include a large multi-claimant liability claim or a total permanent disability of a young worker. 
• </t>
    </r>
    <r>
      <rPr>
        <b/>
        <sz val="12"/>
        <color theme="1"/>
        <rFont val="Calibri"/>
        <family val="2"/>
      </rPr>
      <t xml:space="preserve">Catastrophe Losses </t>
    </r>
    <r>
      <rPr>
        <sz val="12"/>
        <color theme="1"/>
        <rFont val="Calibri"/>
        <family val="2"/>
      </rPr>
      <t xml:space="preserve">- These are large </t>
    </r>
    <r>
      <rPr>
        <i/>
        <u/>
        <sz val="12"/>
        <color theme="1"/>
        <rFont val="Calibri"/>
        <family val="2"/>
      </rPr>
      <t>aggregate</t>
    </r>
    <r>
      <rPr>
        <sz val="12"/>
        <color theme="1"/>
        <rFont val="Calibri"/>
        <family val="2"/>
      </rPr>
      <t xml:space="preserve"> losses resulting from unusually severe natural or man-made disasters that lead to a significant number of claims, such as hurricanes and terrorist attacks. 
In the ratemaking process, shock losses and catastrophe losses should be removed from the historical data or capped at a large loss threshold, as Werner shows. The actual excess losses are replaced with a longer-term average expected excess loss amount by loading in an </t>
    </r>
    <r>
      <rPr>
        <b/>
        <sz val="12"/>
        <color theme="1"/>
        <rFont val="Calibri"/>
        <family val="2"/>
      </rPr>
      <t>excess loss factor</t>
    </r>
    <r>
      <rPr>
        <sz val="12"/>
        <color theme="1"/>
        <rFont val="Calibri"/>
        <family val="2"/>
      </rPr>
      <t xml:space="preserve">. 
Enough accident years should be used to produce a stable and reasonable estimated excess loss factor, but not so many years such that the historical data is irrelevant.
</t>
    </r>
    <r>
      <rPr>
        <b/>
        <sz val="12"/>
        <color theme="1"/>
        <rFont val="Calibri"/>
        <family val="2"/>
      </rPr>
      <t>Note On Trending:</t>
    </r>
    <r>
      <rPr>
        <sz val="12"/>
        <color theme="1"/>
        <rFont val="Calibri"/>
        <family val="2"/>
      </rPr>
      <t xml:space="preserve">
Reported losses should be trended to future levels before removing actual excess losses and loading in an excess loss factor. Alternatively, the large loss threshold can be indexed to older years to reflect the loss trend and then applied to ground-up untrended losses.</t>
    </r>
  </si>
  <si>
    <t>For shock losses, a large loss threshold is selected that best balances the goals of:
• Including as many losses as possible and 
• Minimizing volatility in the ratemaking analysis
One approach is to set the threshold at a given percentile from the severity distribution, such as the 99th percentile. Alternatively, a threshold can be chosen based on a percentage of losses rather than claim counts.</t>
  </si>
  <si>
    <r>
      <t xml:space="preserve">Catastrophe losses should be removed from the actual historical loss data and replaced with an average expected catastrophe loss amount. This prevents the ratemaking analysis from being distorted by catastrophic losses.
There are two groups of catastrophe losses:
• </t>
    </r>
    <r>
      <rPr>
        <b/>
        <sz val="12"/>
        <color theme="1"/>
        <rFont val="Calibri"/>
        <family val="2"/>
      </rPr>
      <t>Non-Modeled Catastrophes</t>
    </r>
    <r>
      <rPr>
        <sz val="12"/>
        <color theme="1"/>
        <rFont val="Calibri"/>
        <family val="2"/>
      </rPr>
      <t xml:space="preserve"> - These catastrophes affect a large number of claims, but occur with some regularity (e.g. hailstorms impacting automobile policies). 
     ⇾ Calculate a ratio of CAT losses to non-CAT losses over a longer experience period (e.g. 10-30 years, balancing stability and responsiveness). Multiply the ratio by non-CAT losses to get an expected CAT loss loading.
     ⇾ Alternatively, a pure premium per exposure can be selected and loaded into the rates.
• </t>
    </r>
    <r>
      <rPr>
        <b/>
        <sz val="12"/>
        <color theme="1"/>
        <rFont val="Calibri"/>
        <family val="2"/>
      </rPr>
      <t>Modeled Catastrophes</t>
    </r>
    <r>
      <rPr>
        <sz val="12"/>
        <color theme="1"/>
        <rFont val="Calibri"/>
        <family val="2"/>
      </rPr>
      <t xml:space="preserve"> - Catastrophic events that are extremely sporadic and cause high severity losses are modeled with sophisticated Catastrophe models (e.g. for hurricanes and earthquakes). These models estimate an expected annual loss for the type of catastrophe based on the insurer's exposure (book of business).
     ⇾ Add the model's catastrophe loss provision to the non-catastrophe losses</t>
    </r>
  </si>
  <si>
    <r>
      <t xml:space="preserve">Reinsurance is insurance for primary insurers and helps them manage some of their risk. There are two types of reinsurance:
</t>
    </r>
    <r>
      <rPr>
        <b/>
        <sz val="12"/>
        <color theme="1"/>
        <rFont val="Calibri"/>
        <family val="2"/>
      </rPr>
      <t>• Proportional Reinsurance</t>
    </r>
    <r>
      <rPr>
        <sz val="12"/>
        <color theme="1"/>
        <rFont val="Calibri"/>
        <family val="2"/>
      </rPr>
      <t xml:space="preserve"> - Premium and losses are ceded to the reinsurer with the same proportion (e.g. a 30% quota share reinsurance treaty)
     ⇾ Generally, this doesn't need to be explicitly considered for ratemaking.
• </t>
    </r>
    <r>
      <rPr>
        <b/>
        <sz val="12"/>
        <color theme="1"/>
        <rFont val="Calibri"/>
        <family val="2"/>
      </rPr>
      <t>Non-Proportional Reinsurance</t>
    </r>
    <r>
      <rPr>
        <sz val="12"/>
        <color theme="1"/>
        <rFont val="Calibri"/>
        <family val="2"/>
      </rPr>
      <t xml:space="preserve">  - The insurer pays a portion of premium to the reinsurer (</t>
    </r>
    <r>
      <rPr>
        <b/>
        <sz val="12"/>
        <color theme="1"/>
        <rFont val="Calibri"/>
        <family val="2"/>
      </rPr>
      <t>reinsurance cost</t>
    </r>
    <r>
      <rPr>
        <sz val="12"/>
        <color theme="1"/>
        <rFont val="Calibri"/>
        <family val="2"/>
      </rPr>
      <t>) and the reinsurer assumes a predifined portion of losses (</t>
    </r>
    <r>
      <rPr>
        <b/>
        <sz val="12"/>
        <color theme="1"/>
        <rFont val="Calibri"/>
        <family val="2"/>
      </rPr>
      <t>reinsurance recoveries</t>
    </r>
    <r>
      <rPr>
        <sz val="12"/>
        <color theme="1"/>
        <rFont val="Calibri"/>
        <family val="2"/>
      </rPr>
      <t>) from the insurer (e.g. an excess of loss treaty covering 50% of losses in the $15M to $30M loss layer)
     ⇾ Take into account by reducing projected losses by the expected non-proportional loss recoveries and reducing the total premium by the cost of reinsurance.
     ⇾ Alternatively, add the net cost of non-proportional reinsurance (cost of reinsurance minus expected recoveries) as an expense item in the rate indication.</t>
    </r>
  </si>
  <si>
    <t>Werner Ratemaking Ch. 6 - pg. 95-99</t>
  </si>
  <si>
    <t>15-Ult</t>
  </si>
  <si>
    <t>27-Ult</t>
  </si>
  <si>
    <t>39-Ult</t>
  </si>
  <si>
    <t>51-Ult</t>
  </si>
  <si>
    <t>63-Ult</t>
  </si>
  <si>
    <t>Reported Losses and Paid ALAE</t>
  </si>
  <si>
    <t>Loss Trend Factor</t>
  </si>
  <si>
    <t>ULAE Factor</t>
  </si>
  <si>
    <t>An actuary is performing a rate review for a Home insurance book of business using the following premium information as of 3/31/2022:</t>
  </si>
  <si>
    <t>An actuary is performing a rate review for an Auto insurance book of business using the following premium information as of 3/31/2022:</t>
  </si>
  <si>
    <t>Accident Year</t>
  </si>
  <si>
    <t>Selected Current Trend</t>
  </si>
  <si>
    <t>Selected Projected Trend</t>
  </si>
  <si>
    <t>Current Trend Period</t>
  </si>
  <si>
    <t>Projected Trend Period</t>
  </si>
  <si>
    <t xml:space="preserve">Current Trend Period = </t>
  </si>
  <si>
    <t>Trend Period</t>
  </si>
  <si>
    <t>Selected LDF</t>
  </si>
  <si>
    <t xml:space="preserve">Selected = </t>
  </si>
  <si>
    <t>Calculate the indicated rate using the pure premium indicated rate formula. If non-proportional reinsurance is included as a net reinsurance cost per exposure, include this in the numerator like a fixed expense.</t>
  </si>
  <si>
    <t>9)</t>
  </si>
  <si>
    <t>Ratemaking - Indication: Loss Ratio Method</t>
  </si>
  <si>
    <t>Losses and</t>
  </si>
  <si>
    <t>Paid ALAE</t>
  </si>
  <si>
    <t xml:space="preserve">Average </t>
  </si>
  <si>
    <t>Rate Change</t>
  </si>
  <si>
    <t>Selected Reported Loss &amp; Paid ALAE Development Factors</t>
  </si>
  <si>
    <t>• All policies are semi-annual</t>
  </si>
  <si>
    <t>The classical credibilty approach is used with a trended present rates indication as the complement:</t>
  </si>
  <si>
    <t>A two-step trending approach was used for both premium trend and loss trend based on the following trend selections and information:</t>
  </si>
  <si>
    <t>Premium trend and loss trend selections were made based on quarterly, 12-month rolling period, calendar-year data with the latest data point being the year ending 2022 Q4.</t>
  </si>
  <si>
    <t>Year-ending 2022 Q4</t>
  </si>
  <si>
    <t>The premium-based projection method was used to select fixed and variable expense provisions:</t>
  </si>
  <si>
    <t>Calculate the indicated rate change using the loss ratio method.</t>
  </si>
  <si>
    <t>Calculate the credibility-weighted indicated rate change using the classical credibility approach.</t>
  </si>
  <si>
    <t>Given the following for a Motorcycle book of business undergoing a ratemaking analysis with data evaluated 3/31/23:</t>
  </si>
  <si>
    <t>Part a – Loss Ratio Method Indicated Rate Change</t>
  </si>
  <si>
    <t>CANNOT Be Used For a New Company</t>
  </si>
  <si>
    <t>The loss ratio method depends on current premium, since it calculates an indicated rate change and not an indicated rate. Therefore, it can only be used for an existing company.</t>
  </si>
  <si>
    <t>4a</t>
  </si>
  <si>
    <t>4b</t>
  </si>
  <si>
    <t>*Law Change</t>
  </si>
  <si>
    <t>Calculate the on-level factors using the parallelogram method based on the portion of earned premium from the calendar years in each rate level group. Use a calendar year earned premium diagram with the rate changes to help with this.</t>
  </si>
  <si>
    <r>
      <t xml:space="preserve">Note: </t>
    </r>
    <r>
      <rPr>
        <sz val="12"/>
        <color theme="1"/>
        <rFont val="Calibri"/>
        <family val="2"/>
      </rPr>
      <t xml:space="preserve">As a quick reasonability check, the sum of the portion of EP in </t>
    </r>
    <r>
      <rPr>
        <i/>
        <u/>
        <sz val="12"/>
        <color theme="1"/>
        <rFont val="Calibri"/>
        <family val="2"/>
      </rPr>
      <t>each row</t>
    </r>
    <r>
      <rPr>
        <sz val="12"/>
        <color theme="1"/>
        <rFont val="Calibri"/>
        <family val="2"/>
      </rPr>
      <t xml:space="preserve"> should be 100%.</t>
    </r>
  </si>
  <si>
    <t>• New rates will be in effect for one year, effective 1/1/24</t>
  </si>
  <si>
    <t>Determine the current and projected trend periods for the 2-step loss trend approach. Then calculate the loss trend factor as the product of the current trend factor and the projected trend factor.</t>
  </si>
  <si>
    <t>Calculate the projected ultimate loss and LAE for each accident year by adjusting reported loss &amp; paid ALAE for loss development, loading in a ULAE factor, and applying the loss trend factor.</t>
  </si>
  <si>
    <t>Paid ULAE to Paid Losses &amp; ALAE</t>
  </si>
  <si>
    <t>Projected Loss &amp; LAE Ratio</t>
  </si>
  <si>
    <t>Projected Ultimate Losses &amp; LAE</t>
  </si>
  <si>
    <t>Calculate the projected loss &amp; LAE ratio as the projected ultimate loss &amp; LAE divided by the projected earned premium at CRL. Select an appropriate projected loss &amp; LAE ratio.</t>
  </si>
  <si>
    <r>
      <t>Note:</t>
    </r>
    <r>
      <rPr>
        <sz val="12"/>
        <color theme="1"/>
        <rFont val="Calibri"/>
        <family val="2"/>
      </rPr>
      <t xml:space="preserve"> I would select the overall loss &amp; LAE ratio unless there's indication from the problem or data to do otherwise.</t>
    </r>
  </si>
  <si>
    <t>Calculate the total premium trend factor as the product of the current trend factor and the projected trend factor using the 2-step premium trend method. Then, calculate the projected earned premium at current rate level by adjusting with the on-level factors and total premium trend factor.</t>
  </si>
  <si>
    <t xml:space="preserve">Indicated Rate Change = </t>
  </si>
  <si>
    <t>Calculate the credibility using the classical credibility approach with the square root rule based on the number of claims.</t>
  </si>
  <si>
    <t xml:space="preserve">Credibility = </t>
  </si>
  <si>
    <t xml:space="preserve">Cred-Wtd Indication = </t>
  </si>
  <si>
    <t>Residual Indication =</t>
  </si>
  <si>
    <t>Calculate the residual indication based on the latest indicated rate change and the latest rate change taken (from the rate change history). This indicates how much rates should change from current levels to get to the level indicated by the latest rate indication.</t>
  </si>
  <si>
    <t>Calculate the projected net trend based on the projected loss trend and projected premium trend.</t>
  </si>
  <si>
    <t xml:space="preserve">Net Trend = </t>
  </si>
  <si>
    <t xml:space="preserve">Trended Present Rates Indication = </t>
  </si>
  <si>
    <t>Proposed Effective Date</t>
  </si>
  <si>
    <t>Calculate the credibility-weighted indicated rate change using the trended present rates indication as the complement of credibility.</t>
  </si>
  <si>
    <t>Part b – Trended Present Rates Complement of Credibility and Credibility-Weighted Indication</t>
  </si>
  <si>
    <t>Werner Ratemaking Ch. 5 - pg. 86-88</t>
  </si>
  <si>
    <r>
      <t xml:space="preserve">When the historical average premium is volatile, an alternative approach is to select an annual premium trend for the current trend period instead of the ratio shown in the Current Trend Factor formula. 
</t>
    </r>
    <r>
      <rPr>
        <b/>
        <sz val="12"/>
        <color theme="1"/>
        <rFont val="Calibri"/>
        <family val="2"/>
      </rPr>
      <t xml:space="preserve">Example:
</t>
    </r>
    <r>
      <rPr>
        <sz val="12"/>
        <color theme="1"/>
        <rFont val="Calibri"/>
        <family val="2"/>
      </rPr>
      <t>Assume we selected an annual premium trend of 4% for the current period. Below is how to calculate the current trend factor for CY 2021 Earned Premium:</t>
    </r>
  </si>
  <si>
    <t>CAS Spring 2015 – 4</t>
  </si>
  <si>
    <t>CAS Spring 2019 – 2</t>
  </si>
  <si>
    <t>Ratemaking - Two-Step Premium Trend</t>
  </si>
  <si>
    <t>Ratemaking - One-Step Premium Trend</t>
  </si>
  <si>
    <t>• All policies have a six-month policy term</t>
  </si>
  <si>
    <t>Cap at 100% credibility</t>
  </si>
  <si>
    <t>• Base rate per exposure</t>
  </si>
  <si>
    <t>• Current policy fee</t>
  </si>
  <si>
    <t>• Large Loss Threshold</t>
  </si>
  <si>
    <t>• Profit Provision</t>
  </si>
  <si>
    <t>• Number of claims</t>
  </si>
  <si>
    <t>• Claims required for full crediblity</t>
  </si>
  <si>
    <t xml:space="preserve">• Selected projected premium trend </t>
  </si>
  <si>
    <t xml:space="preserve">• Most recent average written premium at CRL </t>
  </si>
  <si>
    <t>• Selected current pure prem trend</t>
  </si>
  <si>
    <t>• Selected projected pure prem trend</t>
  </si>
  <si>
    <t>• Selected fixed expense provision</t>
  </si>
  <si>
    <t>• Selected variable expense provision</t>
  </si>
  <si>
    <t>• Selected ULAE ratio</t>
  </si>
  <si>
    <t>• Latest indicated rate change</t>
  </si>
  <si>
    <r>
      <t xml:space="preserve">Calculate the 2021 and 2022 </t>
    </r>
    <r>
      <rPr>
        <b/>
        <sz val="12"/>
        <color theme="1"/>
        <rFont val="Calibri"/>
        <family val="2"/>
      </rPr>
      <t>written exposures</t>
    </r>
    <r>
      <rPr>
        <sz val="12"/>
        <color theme="1"/>
        <rFont val="Calibri"/>
        <family val="2"/>
      </rPr>
      <t xml:space="preserve"> as of 12/31/22 both aggregated by calendar year and policy year.</t>
    </r>
  </si>
  <si>
    <r>
      <t xml:space="preserve">Calculate the 2021 and 2022 </t>
    </r>
    <r>
      <rPr>
        <b/>
        <sz val="12"/>
        <color theme="1"/>
        <rFont val="Calibri"/>
        <family val="2"/>
      </rPr>
      <t>earned exposures</t>
    </r>
    <r>
      <rPr>
        <sz val="12"/>
        <color theme="1"/>
        <rFont val="Calibri"/>
        <family val="2"/>
      </rPr>
      <t xml:space="preserve"> as of 12/31/22 both aggregated by calendar year and policy year.</t>
    </r>
  </si>
  <si>
    <r>
      <t xml:space="preserve">Calculate the 2021 and 2022 </t>
    </r>
    <r>
      <rPr>
        <b/>
        <sz val="12"/>
        <color theme="1"/>
        <rFont val="Calibri"/>
        <family val="2"/>
      </rPr>
      <t>unearned exposures</t>
    </r>
    <r>
      <rPr>
        <sz val="12"/>
        <color theme="1"/>
        <rFont val="Calibri"/>
        <family val="2"/>
      </rPr>
      <t xml:space="preserve"> as of 12/31/22 both aggregated by calendar year and policy year.</t>
    </r>
  </si>
  <si>
    <r>
      <t xml:space="preserve">Calculate the 2021 and 2022 </t>
    </r>
    <r>
      <rPr>
        <b/>
        <sz val="12"/>
        <color theme="1"/>
        <rFont val="Calibri"/>
        <family val="2"/>
      </rPr>
      <t>in-force exposures</t>
    </r>
    <r>
      <rPr>
        <sz val="12"/>
        <color theme="1"/>
        <rFont val="Calibri"/>
        <family val="2"/>
      </rPr>
      <t xml:space="preserve"> as of 2/15/22 with insured units defined as:</t>
    </r>
  </si>
  <si>
    <r>
      <t xml:space="preserve">Note: </t>
    </r>
    <r>
      <rPr>
        <sz val="12"/>
        <color theme="1"/>
        <rFont val="Calibri"/>
        <family val="2"/>
      </rPr>
      <t>Exposure base is car-years, so the policy length is the term-length in years (0.5 years, 1 year, etc.).</t>
    </r>
  </si>
  <si>
    <t>Modification contributes to PY 2021 (original policy effective date)</t>
  </si>
  <si>
    <r>
      <t>Unearned exposures</t>
    </r>
    <r>
      <rPr>
        <sz val="12"/>
        <color theme="1"/>
        <rFont val="Calibri"/>
        <family val="2"/>
      </rPr>
      <t xml:space="preserve"> -</t>
    </r>
    <r>
      <rPr>
        <b/>
        <sz val="12"/>
        <color theme="1"/>
        <rFont val="Calibri"/>
        <family val="2"/>
      </rPr>
      <t xml:space="preserve"> </t>
    </r>
    <r>
      <rPr>
        <sz val="12"/>
        <color theme="1"/>
        <rFont val="Calibri"/>
        <family val="2"/>
      </rPr>
      <t xml:space="preserve">The portion of written exposures for which coverage has </t>
    </r>
    <r>
      <rPr>
        <i/>
        <u/>
        <sz val="12"/>
        <color theme="1"/>
        <rFont val="Calibri"/>
        <family val="2"/>
      </rPr>
      <t>not yet</t>
    </r>
    <r>
      <rPr>
        <sz val="12"/>
        <color theme="1"/>
        <rFont val="Calibri"/>
        <family val="2"/>
      </rPr>
      <t xml:space="preserve"> been provided.</t>
    </r>
    <r>
      <rPr>
        <b/>
        <sz val="12"/>
        <color theme="1"/>
        <rFont val="Calibri"/>
        <family val="2"/>
      </rPr>
      <t xml:space="preserve"> </t>
    </r>
    <r>
      <rPr>
        <sz val="12"/>
        <color theme="1"/>
        <rFont val="Calibri"/>
        <family val="2"/>
      </rPr>
      <t>For a single policy, it's the difference between written and earned exposure at a point in time.</t>
    </r>
  </si>
  <si>
    <r>
      <rPr>
        <b/>
        <sz val="12"/>
        <color theme="1"/>
        <rFont val="Calibri"/>
        <family val="2"/>
      </rPr>
      <t>Note:</t>
    </r>
    <r>
      <rPr>
        <sz val="12"/>
        <color theme="1"/>
        <rFont val="Calibri"/>
        <family val="2"/>
      </rPr>
      <t xml:space="preserve"> Policy A is effective in 2020, so it contributes to PY 2020 and can be ignored.  </t>
    </r>
    <r>
      <rPr>
        <i/>
        <u/>
        <sz val="12"/>
        <color theme="1"/>
        <rFont val="Calibri"/>
        <family val="2"/>
      </rPr>
      <t>As of 12/31/22</t>
    </r>
    <r>
      <rPr>
        <sz val="12"/>
        <color theme="1"/>
        <rFont val="Calibri"/>
        <family val="2"/>
      </rPr>
      <t xml:space="preserve">, PY 2021 is fully earned (written exposures = earned exposures), so unearned exposure is zero. For PY 2022, the only unearned exposure </t>
    </r>
    <r>
      <rPr>
        <i/>
        <u/>
        <sz val="12"/>
        <color theme="1"/>
        <rFont val="Calibri"/>
        <family val="2"/>
      </rPr>
      <t>as of 12/31/22</t>
    </r>
    <r>
      <rPr>
        <sz val="12"/>
        <color theme="1"/>
        <rFont val="Calibri"/>
        <family val="2"/>
      </rPr>
      <t xml:space="preserve"> is 3 months remaining of policy F with two exposures.</t>
    </r>
  </si>
  <si>
    <r>
      <t xml:space="preserve">Written </t>
    </r>
    <r>
      <rPr>
        <i/>
        <u/>
        <sz val="12"/>
        <color theme="1"/>
        <rFont val="Calibri"/>
        <family val="2"/>
      </rPr>
      <t>after</t>
    </r>
    <r>
      <rPr>
        <sz val="12"/>
        <color theme="1"/>
        <rFont val="Calibri"/>
        <family val="2"/>
      </rPr>
      <t xml:space="preserve"> 2/15/22</t>
    </r>
  </si>
  <si>
    <r>
      <t xml:space="preserve">At 2/15/22 policy C has 2 written </t>
    </r>
    <r>
      <rPr>
        <i/>
        <u/>
        <sz val="12"/>
        <color theme="1"/>
        <rFont val="Calibri"/>
        <family val="2"/>
      </rPr>
      <t>car-years</t>
    </r>
  </si>
  <si>
    <r>
      <rPr>
        <b/>
        <sz val="12"/>
        <color theme="1"/>
        <rFont val="Calibri"/>
        <family val="2"/>
      </rPr>
      <t xml:space="preserve">Proportional to Expected Loss - </t>
    </r>
    <r>
      <rPr>
        <sz val="12"/>
        <color theme="1"/>
        <rFont val="Calibri"/>
        <family val="2"/>
      </rPr>
      <t>The exposure base should be directly proportional to loss.</t>
    </r>
    <r>
      <rPr>
        <b/>
        <sz val="12"/>
        <color theme="1"/>
        <rFont val="Calibri"/>
        <family val="2"/>
      </rPr>
      <t xml:space="preserve">
Practical - </t>
    </r>
    <r>
      <rPr>
        <sz val="12"/>
        <color theme="1"/>
        <rFont val="Calibri"/>
        <family val="2"/>
      </rPr>
      <t xml:space="preserve">The exposure base should be well-defined, objective and relatively easy/inexpensive to measure and verify. </t>
    </r>
    <r>
      <rPr>
        <b/>
        <sz val="12"/>
        <color theme="1"/>
        <rFont val="Calibri"/>
        <family val="2"/>
      </rPr>
      <t xml:space="preserve">
Historical Precedence </t>
    </r>
    <r>
      <rPr>
        <sz val="12"/>
        <color theme="1"/>
        <rFont val="Calibri"/>
        <family val="2"/>
      </rPr>
      <t>- Because of the difficulties of implementing a new exposure base (large premium swings for insureds, changing the rating algorithm, and requiring data adjustments for future analyses), a good exposure base should have historical precedence.</t>
    </r>
  </si>
  <si>
    <r>
      <t xml:space="preserve">• </t>
    </r>
    <r>
      <rPr>
        <b/>
        <sz val="12"/>
        <color theme="1"/>
        <rFont val="Calibri"/>
        <family val="2"/>
      </rPr>
      <t>Different Policy Term Length</t>
    </r>
    <r>
      <rPr>
        <sz val="12"/>
        <color theme="1"/>
        <rFont val="Calibri"/>
        <family val="2"/>
      </rPr>
      <t xml:space="preserve"> 
For example, if all policies above were 6-month policies, the average written date for policies underlying CY 2021 earned premium would be 4/1/21 (policies written between 7/1/20 and 12/31/21). The trend-to date is the same and the trend period would be 2.25 years.
• </t>
    </r>
    <r>
      <rPr>
        <b/>
        <sz val="12"/>
        <color theme="1"/>
        <rFont val="Calibri"/>
        <family val="2"/>
      </rPr>
      <t>Historical Policy Year Premium</t>
    </r>
    <r>
      <rPr>
        <sz val="12"/>
        <color theme="1"/>
        <rFont val="Calibri"/>
        <family val="2"/>
      </rPr>
      <t xml:space="preserve">
For example, if policy year earned premium was used, the average written date for policies underlying PY 2021 earned premium would be the mid-point of the policy year, 7/1/21. The trend-to date is the same and the trend period would be 2 years for PY 2021 earned premium.
• </t>
    </r>
    <r>
      <rPr>
        <b/>
        <sz val="12"/>
        <color theme="1"/>
        <rFont val="Calibri"/>
        <family val="2"/>
      </rPr>
      <t>Different Effective Period for Proposed Rates</t>
    </r>
    <r>
      <rPr>
        <sz val="12"/>
        <color theme="1"/>
        <rFont val="Calibri"/>
        <family val="2"/>
      </rPr>
      <t xml:space="preserve">
For example, if rates are expected to be in effect for two years (1/1/23 to 12/31/24), then the trend-to date would be 12/31/23. For CY 2021 earned premium, the trend period would be 3 years (1/1/21 to 12/31/23).</t>
    </r>
  </si>
  <si>
    <t>• Exposures are written uniformly during each month</t>
  </si>
  <si>
    <t>Because the problem assumes no policies are written before 1/1/23, we don't need to calculate the amount of calendar year 2023 earned premium from policies written in 2022.</t>
  </si>
  <si>
    <t>The text doesn't show any numerical examples, but does discuss this concept and it has been asked on past exams. The approach is the same for both earned exposures and earned premium using an uneven earning pattern. 
Lines of business like recreational vehicle, boat owners, and warranty don't have an equal probability of loss over the whole policy term. Exposures and premiums for lines of business with seasonal fluctuations (like RV and boat owners) will have an uneven earning pattern. In the problem here, recreational vehicles are most susceptible to loss over Q2 and Q3. 
With an uneven earning pattern, you must calculate the earned exposures and premium using the earning pattern, not using the percent of the policy term length exposed.</t>
  </si>
  <si>
    <t>Werner Ratemaking Ch. 4 - pg. 55-57, 68-70</t>
  </si>
  <si>
    <r>
      <rPr>
        <b/>
        <sz val="12"/>
        <color theme="1"/>
        <rFont val="Calibri"/>
        <family val="2"/>
      </rPr>
      <t>Note:</t>
    </r>
    <r>
      <rPr>
        <sz val="12"/>
        <color theme="1"/>
        <rFont val="Calibri"/>
        <family val="2"/>
      </rPr>
      <t xml:space="preserve"> </t>
    </r>
    <r>
      <rPr>
        <sz val="12"/>
        <color theme="1"/>
        <rFont val="Calibri"/>
        <family val="2"/>
      </rPr>
      <t>The average written date for the block of policies effective in 2021 is 7/1/21. Since these are annual policies, 50% is earned in calendar year 2021 and 50% is earned in calendar year 2022.</t>
    </r>
  </si>
  <si>
    <t>Werner Ratemaking Ch. 5 - pg. 73-80</t>
  </si>
  <si>
    <r>
      <t xml:space="preserve">Problem 1 - </t>
    </r>
    <r>
      <rPr>
        <i/>
        <u/>
        <sz val="12"/>
        <color theme="1"/>
        <rFont val="Calibri"/>
        <family val="2"/>
      </rPr>
      <t>Assumes policies are written evenly throughout the year</t>
    </r>
    <r>
      <rPr>
        <b/>
        <sz val="12"/>
        <color theme="1"/>
        <rFont val="Calibri"/>
        <family val="2"/>
      </rPr>
      <t xml:space="preserve">
</t>
    </r>
    <r>
      <rPr>
        <sz val="12"/>
        <color theme="1"/>
        <rFont val="Calibri"/>
        <family val="2"/>
      </rPr>
      <t xml:space="preserve">• This assumption isn't always valid, especially for seasonal lines of business like boat owners insurance. 
     ⇾ The parallelogram method can still be used with more refined time periods like months or quarters. 
Another approach is to use the actual distribution of writings during the year to more accurately determine the portion of earned premium in each rate level group (step 2). The paper doesn't go into this approach.
</t>
    </r>
    <r>
      <rPr>
        <b/>
        <sz val="12"/>
        <color theme="1"/>
        <rFont val="Calibri"/>
        <family val="2"/>
      </rPr>
      <t>Problem 2</t>
    </r>
    <r>
      <rPr>
        <sz val="12"/>
        <color theme="1"/>
        <rFont val="Calibri"/>
        <family val="2"/>
      </rPr>
      <t xml:space="preserve"> - </t>
    </r>
    <r>
      <rPr>
        <i/>
        <u/>
        <sz val="12"/>
        <color theme="1"/>
        <rFont val="Calibri"/>
        <family val="2"/>
      </rPr>
      <t>Applies at the aggregate level with overall average rate changes</t>
    </r>
    <r>
      <rPr>
        <sz val="12"/>
        <color theme="1"/>
        <rFont val="Calibri"/>
        <family val="2"/>
      </rPr>
      <t xml:space="preserve">
• If rate changes varied by class (class factors were modified), then premium at the class level won't be properly on-leveled. This means the adjusted premium won't be acceptable for classification ratemaking analysis.</t>
    </r>
  </si>
  <si>
    <t>Earned Premium Evaluated as of</t>
  </si>
  <si>
    <t>Werner Ratemaking Ch. 5 - pg. 80-81</t>
  </si>
  <si>
    <r>
      <t xml:space="preserve">There are two main scenarios where premium development is used:
• When an incomplete year of data is used
• When the line of business uses premium audits
In this problem, we see both of these scenarios: 
</t>
    </r>
    <r>
      <rPr>
        <b/>
        <sz val="12"/>
        <color theme="1"/>
        <rFont val="Calibri"/>
        <family val="2"/>
      </rPr>
      <t xml:space="preserve">Incomplete Policy Year </t>
    </r>
    <r>
      <rPr>
        <sz val="12"/>
        <color theme="1"/>
        <rFont val="Calibri"/>
        <family val="2"/>
      </rPr>
      <t xml:space="preserve">- Because policies have annual terms and the premium is aggregated by policy year, policies for 2022 won't fully expire until 12/31/23 after 24 months. This is why the 12-24 age-to-age factor is so high. It's reflecting the fact that a policy year evaluated at 12 months maturity is an incomplete year.
</t>
    </r>
    <r>
      <rPr>
        <b/>
        <sz val="12"/>
        <color theme="1"/>
        <rFont val="Calibri"/>
        <family val="2"/>
      </rPr>
      <t>Premium Audits</t>
    </r>
    <r>
      <rPr>
        <sz val="12"/>
        <color theme="1"/>
        <rFont val="Calibri"/>
        <family val="2"/>
      </rPr>
      <t xml:space="preserve"> - At 24 months, all policies are expired, but only some have had a premium audit. Premium audits aren't fully complete for a year until 6 months after the policy year expires (30 months).
Premium development is generally </t>
    </r>
    <r>
      <rPr>
        <i/>
        <u/>
        <sz val="12"/>
        <color theme="1"/>
        <rFont val="Calibri"/>
        <family val="2"/>
      </rPr>
      <t>only done for policy year</t>
    </r>
    <r>
      <rPr>
        <sz val="12"/>
        <color theme="1"/>
        <rFont val="Calibri"/>
        <family val="2"/>
      </rPr>
      <t xml:space="preserve"> premium because calendar year premium is fixed at the end of each year, so there is no development. Some actuaries may adjust calendar year premium if audit patterns are changing, but this isn't elaborated on.</t>
    </r>
  </si>
  <si>
    <r>
      <t xml:space="preserve">Calculate the premium trend factor and apply it to the calendar year earned premium to calculate the projected earned premium at current rate level. Make sure to use </t>
    </r>
    <r>
      <rPr>
        <b/>
        <i/>
        <u/>
        <sz val="12"/>
        <color theme="1"/>
        <rFont val="Calibri"/>
        <family val="2"/>
      </rPr>
      <t>earned premium</t>
    </r>
    <r>
      <rPr>
        <b/>
        <sz val="12"/>
        <color theme="1"/>
        <rFont val="Calibri"/>
        <family val="2"/>
      </rPr>
      <t>.</t>
    </r>
  </si>
  <si>
    <t>Werner Ratemaking Ch. 5 - pg. 81-86</t>
  </si>
  <si>
    <r>
      <t xml:space="preserve">The company acquired a small insurer on 1/1/2022 with a sub-prime book of auto business. After consolidating the books, the actuary expects the average premium level to increase. The actuary selects a </t>
    </r>
    <r>
      <rPr>
        <b/>
        <sz val="12"/>
        <color theme="1"/>
        <rFont val="Calibri"/>
        <family val="2"/>
        <scheme val="minor"/>
      </rPr>
      <t>3% annual premium trend</t>
    </r>
    <r>
      <rPr>
        <sz val="12"/>
        <color theme="1"/>
        <rFont val="Calibri"/>
        <family val="2"/>
        <scheme val="minor"/>
      </rPr>
      <t xml:space="preserve"> for the prospective period.</t>
    </r>
  </si>
  <si>
    <r>
      <t>Projected Trend Period</t>
    </r>
    <r>
      <rPr>
        <sz val="12"/>
        <color theme="1"/>
        <rFont val="Calibri"/>
        <family val="2"/>
      </rPr>
      <t xml:space="preserve"> = </t>
    </r>
  </si>
  <si>
    <t>Ratemaking - Loss Aggregation</t>
  </si>
  <si>
    <r>
      <t xml:space="preserve">For </t>
    </r>
    <r>
      <rPr>
        <b/>
        <i/>
        <u/>
        <sz val="12"/>
        <color theme="1"/>
        <rFont val="Calibri"/>
        <family val="2"/>
      </rPr>
      <t>Accident Year</t>
    </r>
    <r>
      <rPr>
        <b/>
        <sz val="12"/>
        <color theme="1"/>
        <rFont val="Calibri"/>
        <family val="2"/>
      </rPr>
      <t xml:space="preserve">, losses are aggregated by </t>
    </r>
    <r>
      <rPr>
        <b/>
        <i/>
        <u/>
        <sz val="12"/>
        <color theme="1"/>
        <rFont val="Calibri"/>
        <family val="2"/>
      </rPr>
      <t>accident date</t>
    </r>
    <r>
      <rPr>
        <b/>
        <sz val="12"/>
        <color theme="1"/>
        <rFont val="Calibri"/>
        <family val="2"/>
      </rPr>
      <t xml:space="preserve">. Accident year reported loss incudes all loss payments up to the evaluation date for claims with a loss occurrence date during the year plus the case reserve </t>
    </r>
    <r>
      <rPr>
        <b/>
        <i/>
        <u/>
        <sz val="12"/>
        <color theme="1"/>
        <rFont val="Calibri"/>
        <family val="2"/>
      </rPr>
      <t>as of the evaluation date</t>
    </r>
    <r>
      <rPr>
        <b/>
        <sz val="12"/>
        <color theme="1"/>
        <rFont val="Calibri"/>
        <family val="2"/>
      </rPr>
      <t>.</t>
    </r>
  </si>
  <si>
    <r>
      <t xml:space="preserve">For </t>
    </r>
    <r>
      <rPr>
        <b/>
        <i/>
        <u/>
        <sz val="12"/>
        <color theme="1"/>
        <rFont val="Calibri"/>
        <family val="2"/>
      </rPr>
      <t>Policy Year</t>
    </r>
    <r>
      <rPr>
        <b/>
        <sz val="12"/>
        <color theme="1"/>
        <rFont val="Calibri"/>
        <family val="2"/>
      </rPr>
      <t xml:space="preserve">, losses are aggregated by </t>
    </r>
    <r>
      <rPr>
        <b/>
        <i/>
        <u/>
        <sz val="12"/>
        <color theme="1"/>
        <rFont val="Calibri"/>
        <family val="2"/>
      </rPr>
      <t>policy effective date</t>
    </r>
    <r>
      <rPr>
        <b/>
        <sz val="12"/>
        <color theme="1"/>
        <rFont val="Calibri"/>
        <family val="2"/>
      </rPr>
      <t xml:space="preserve">. Policy year reported loss incudes all loss payments up to the evaluation date for claims from policies with an inception date during the year plus the case reserve </t>
    </r>
    <r>
      <rPr>
        <b/>
        <i/>
        <u/>
        <sz val="12"/>
        <color theme="1"/>
        <rFont val="Calibri"/>
        <family val="2"/>
      </rPr>
      <t>as of the evaluation date</t>
    </r>
    <r>
      <rPr>
        <b/>
        <sz val="12"/>
        <color theme="1"/>
        <rFont val="Calibri"/>
        <family val="2"/>
      </rPr>
      <t>.</t>
    </r>
  </si>
  <si>
    <t>For losses occurring during the Accident Year:</t>
  </si>
  <si>
    <r>
      <rPr>
        <b/>
        <sz val="12"/>
        <color theme="1"/>
        <rFont val="Calibri"/>
        <family val="2"/>
        <scheme val="minor"/>
      </rPr>
      <t>Note:</t>
    </r>
    <r>
      <rPr>
        <sz val="12"/>
        <color theme="1"/>
        <rFont val="Calibri"/>
        <family val="2"/>
        <scheme val="minor"/>
      </rPr>
      <t xml:space="preserve"> The 2020 Accident Year loss evaluated as of 12/31/2022 from part a is the 2020 Accident Year loss at 36 months shown in the triangle here. Claim #1 isn't reported until </t>
    </r>
    <r>
      <rPr>
        <i/>
        <u/>
        <sz val="12"/>
        <color theme="1"/>
        <rFont val="Calibri (Body)"/>
      </rPr>
      <t>after</t>
    </r>
    <r>
      <rPr>
        <sz val="12"/>
        <color theme="1"/>
        <rFont val="Calibri (Body)"/>
      </rPr>
      <t xml:space="preserve"> 24 months development.</t>
    </r>
  </si>
  <si>
    <r>
      <t xml:space="preserve">Data aggregation questions (loss, premium or exposure) are simple in theory, but </t>
    </r>
    <r>
      <rPr>
        <i/>
        <u/>
        <sz val="12"/>
        <color theme="1"/>
        <rFont val="Calibri"/>
        <family val="2"/>
      </rPr>
      <t>attention to detail is critical</t>
    </r>
    <r>
      <rPr>
        <sz val="12"/>
        <color theme="1"/>
        <rFont val="Calibri"/>
        <family val="2"/>
      </rPr>
      <t>. The calculation is defined by the following elements:</t>
    </r>
  </si>
  <si>
    <t>5 Largest Claims</t>
  </si>
  <si>
    <t>Werner Ratemaking Ch. 8 - pg. 143-147, 229-230, Appendix A</t>
  </si>
  <si>
    <r>
      <t xml:space="preserve">The Pure Premium and Loss Ratio methods differ in </t>
    </r>
    <r>
      <rPr>
        <i/>
        <u/>
        <sz val="12"/>
        <color theme="1"/>
        <rFont val="Calibri"/>
        <family val="2"/>
      </rPr>
      <t>underlying loss measures</t>
    </r>
    <r>
      <rPr>
        <sz val="12"/>
        <color theme="1"/>
        <rFont val="Calibri"/>
        <family val="2"/>
      </rPr>
      <t xml:space="preserve"> and </t>
    </r>
    <r>
      <rPr>
        <i/>
        <u/>
        <sz val="12"/>
        <color theme="1"/>
        <rFont val="Calibri"/>
        <family val="2"/>
      </rPr>
      <t>output</t>
    </r>
    <r>
      <rPr>
        <sz val="12"/>
        <color theme="1"/>
        <rFont val="Calibri"/>
        <family val="2"/>
      </rPr>
      <t xml:space="preserve">, each with its own advantages and disadvantages:
</t>
    </r>
    <r>
      <rPr>
        <u/>
        <sz val="14"/>
        <color theme="1"/>
        <rFont val="Calibri"/>
        <family val="2"/>
      </rPr>
      <t>Comparison of Methods - Underlying loss measure</t>
    </r>
    <r>
      <rPr>
        <sz val="12"/>
        <color theme="1"/>
        <rFont val="Calibri"/>
        <family val="2"/>
      </rPr>
      <t xml:space="preserve">
</t>
    </r>
    <r>
      <rPr>
        <b/>
        <sz val="12"/>
        <color theme="1"/>
        <rFont val="Calibri"/>
        <family val="2"/>
      </rPr>
      <t>Pure Premium Method</t>
    </r>
    <r>
      <rPr>
        <sz val="12"/>
        <color theme="1"/>
        <rFont val="Calibri"/>
        <family val="2"/>
      </rPr>
      <t xml:space="preserve"> - Uses </t>
    </r>
    <r>
      <rPr>
        <i/>
        <u/>
        <sz val="12"/>
        <color theme="1"/>
        <rFont val="Calibri"/>
        <family val="2"/>
      </rPr>
      <t>pure premium</t>
    </r>
    <r>
      <rPr>
        <sz val="12"/>
        <color theme="1"/>
        <rFont val="Calibri"/>
        <family val="2"/>
      </rPr>
      <t xml:space="preserve"> (projected ultimate loss &amp; LAE divided by </t>
    </r>
    <r>
      <rPr>
        <i/>
        <u/>
        <sz val="12"/>
        <color theme="1"/>
        <rFont val="Calibri"/>
        <family val="2"/>
      </rPr>
      <t>projected exposures</t>
    </r>
    <r>
      <rPr>
        <sz val="12"/>
        <color theme="1"/>
        <rFont val="Calibri"/>
        <family val="2"/>
      </rPr>
      <t xml:space="preserve">)
• Doesn't require premium at current rate level but does require clearly defined exposures. 
      ⇾ Preferred if premium is unavailable or if it's difficult to accurately calculate the premium at CRL.
</t>
    </r>
    <r>
      <rPr>
        <b/>
        <sz val="12"/>
        <color theme="1"/>
        <rFont val="Calibri"/>
        <family val="2"/>
      </rPr>
      <t>Loss Ratio Method</t>
    </r>
    <r>
      <rPr>
        <sz val="12"/>
        <color theme="1"/>
        <rFont val="Calibri"/>
        <family val="2"/>
      </rPr>
      <t xml:space="preserve"> - Uses the </t>
    </r>
    <r>
      <rPr>
        <i/>
        <u/>
        <sz val="12"/>
        <color theme="1"/>
        <rFont val="Calibri"/>
        <family val="2"/>
      </rPr>
      <t>loss ratio</t>
    </r>
    <r>
      <rPr>
        <sz val="12"/>
        <color theme="1"/>
        <rFont val="Calibri"/>
        <family val="2"/>
      </rPr>
      <t xml:space="preserve"> (projected ultimate loss &amp; LAE divided by </t>
    </r>
    <r>
      <rPr>
        <i/>
        <u/>
        <sz val="12"/>
        <color theme="1"/>
        <rFont val="Calibri"/>
        <family val="2"/>
      </rPr>
      <t>projected premium at CRL</t>
    </r>
    <r>
      <rPr>
        <sz val="12"/>
        <color theme="1"/>
        <rFont val="Calibri"/>
        <family val="2"/>
      </rPr>
      <t xml:space="preserve">) 
• Requires premium at the current rate level but does not need clearly defined exposures. 
      ⇾ Preferred if exposure data is unavailable or if the product doesn't have clearly defined exposures.
</t>
    </r>
    <r>
      <rPr>
        <u/>
        <sz val="14"/>
        <color theme="1"/>
        <rFont val="Calibri"/>
        <family val="2"/>
      </rPr>
      <t>Comparison of Methods - Output</t>
    </r>
    <r>
      <rPr>
        <sz val="12"/>
        <color theme="1"/>
        <rFont val="Calibri"/>
        <family val="2"/>
      </rPr>
      <t xml:space="preserve">
</t>
    </r>
    <r>
      <rPr>
        <b/>
        <sz val="12"/>
        <color theme="1"/>
        <rFont val="Calibri"/>
        <family val="2"/>
      </rPr>
      <t>Pure Premium Method</t>
    </r>
    <r>
      <rPr>
        <sz val="12"/>
        <color theme="1"/>
        <rFont val="Calibri"/>
        <family val="2"/>
      </rPr>
      <t xml:space="preserve"> - gives an </t>
    </r>
    <r>
      <rPr>
        <i/>
        <u/>
        <sz val="12"/>
        <color theme="1"/>
        <rFont val="Calibri"/>
        <family val="2"/>
      </rPr>
      <t>indicated rate</t>
    </r>
    <r>
      <rPr>
        <sz val="12"/>
        <color theme="1"/>
        <rFont val="Calibri"/>
        <family val="2"/>
      </rPr>
      <t xml:space="preserve"> as the output. 
• This method must be used for a new line of business where there are no current rates to adjust.
</t>
    </r>
    <r>
      <rPr>
        <b/>
        <sz val="12"/>
        <color theme="1"/>
        <rFont val="Calibri"/>
        <family val="2"/>
      </rPr>
      <t>Loss Ratio Method</t>
    </r>
    <r>
      <rPr>
        <sz val="12"/>
        <color theme="1"/>
        <rFont val="Calibri"/>
        <family val="2"/>
      </rPr>
      <t xml:space="preserve"> - gives an </t>
    </r>
    <r>
      <rPr>
        <i/>
        <u/>
        <sz val="12"/>
        <color theme="1"/>
        <rFont val="Calibri"/>
        <family val="2"/>
      </rPr>
      <t>indicated rate change</t>
    </r>
    <r>
      <rPr>
        <sz val="12"/>
        <color theme="1"/>
        <rFont val="Calibri"/>
        <family val="2"/>
      </rPr>
      <t>. 
• The indicated percent change to existing rates gives an approximation of the average impact on existing policyholders if the fully indicated rates are implemented.</t>
    </r>
  </si>
  <si>
    <t>CDF</t>
  </si>
  <si>
    <t>10)</t>
  </si>
  <si>
    <t>11)</t>
  </si>
  <si>
    <t>12)</t>
  </si>
  <si>
    <t>CAS Spring 2017 – 1</t>
  </si>
  <si>
    <t>CAS Fall 2016 – 1</t>
  </si>
  <si>
    <t>CAS Spring 2015 – 3</t>
  </si>
  <si>
    <t xml:space="preserve">CAS Fall 2019 – 2 </t>
  </si>
  <si>
    <t>CAS Spring 2019 – 1</t>
  </si>
  <si>
    <t xml:space="preserve">CAS Fall 2018 – 2 </t>
  </si>
  <si>
    <t xml:space="preserve">CAS Fall 2017 – 3  </t>
  </si>
  <si>
    <t>CAS Spring 2016 – 2</t>
  </si>
  <si>
    <t>CAS Fall 2014 – 2</t>
  </si>
  <si>
    <t>CAS Spring 2017 – 2</t>
  </si>
  <si>
    <t>CAS Fall 2016 – 2</t>
  </si>
  <si>
    <t>CAS Spring 2015 – 5</t>
  </si>
  <si>
    <t xml:space="preserve">CAS Spring 2014 – 1 </t>
  </si>
  <si>
    <t>CAS Spring 2017 – 3</t>
  </si>
  <si>
    <t>CAS Spring 2016 – 4</t>
  </si>
  <si>
    <t>CAS Spring 2013 – 2</t>
  </si>
  <si>
    <t>⇽ One-step trending is easier for this problem</t>
  </si>
  <si>
    <t>CAS Spring 2019 – 5</t>
  </si>
  <si>
    <t>CAS Fall 2013 – 5</t>
  </si>
  <si>
    <t>CAS Fall 2019 – 7</t>
  </si>
  <si>
    <t>CAS Spring 2017 – 13</t>
  </si>
  <si>
    <t>CAS Spring 2015 – 11</t>
  </si>
  <si>
    <t>CAS Spring 2014 – 5</t>
  </si>
  <si>
    <t>CAS Fall 2013 – 4</t>
  </si>
  <si>
    <t>CAS Spring 2019 – 7</t>
  </si>
  <si>
    <t>CAS Fall 2017 – 2</t>
  </si>
  <si>
    <t>CAS Spring 2017 – 5</t>
  </si>
  <si>
    <t>CAS Fall 2016 – 8</t>
  </si>
  <si>
    <t>CAS Spring 2016 – 6</t>
  </si>
  <si>
    <t xml:space="preserve">CAS Fall 2014 – 8  </t>
  </si>
  <si>
    <t>CAS Spring 2013 – 3</t>
  </si>
  <si>
    <t xml:space="preserve">CAS Spring 2013 – 5 </t>
  </si>
  <si>
    <t>CAS Fall 2019 – 3</t>
  </si>
  <si>
    <r>
      <t xml:space="preserve">Note: </t>
    </r>
    <r>
      <rPr>
        <sz val="12"/>
        <color theme="1"/>
        <rFont val="Calibri"/>
        <family val="2"/>
      </rPr>
      <t>The evaluation date is 12/31/2022, so only include transactions that occurred by then and for claims with a loss occurrence in 2020.</t>
    </r>
  </si>
  <si>
    <t>CAS Spring 2018 – 1</t>
  </si>
  <si>
    <t>CAS Spring 2018 Makeup – 1</t>
  </si>
  <si>
    <t>Friedland Reserving Ch. 4 - pg. 51-60</t>
  </si>
  <si>
    <t>CAS Fall 2018 – 15</t>
  </si>
  <si>
    <t>CAS Spring 2018 Makeup – 2</t>
  </si>
  <si>
    <t>CAS Spring 2018 – 16</t>
  </si>
  <si>
    <t>CAS Fall 2017 – 16</t>
  </si>
  <si>
    <t>CAS Fall 2016 – 16</t>
  </si>
  <si>
    <t>CAS Spring 2016 – 15</t>
  </si>
  <si>
    <t>CAS Fall 2015 – 16</t>
  </si>
  <si>
    <t xml:space="preserve">CAS Spring 2015 – 15 </t>
  </si>
  <si>
    <t>CAS Spring 2018 Makeup – 3</t>
  </si>
  <si>
    <t>CAS Spring 2018 – 5</t>
  </si>
  <si>
    <t>CAS Spring 2015 – 8</t>
  </si>
  <si>
    <t>CAS Spring 2018 Makeup – 5</t>
  </si>
  <si>
    <t>** 10/1/22 was the target effective date of the last rate review</t>
  </si>
  <si>
    <t>* 7/1/20 was a mandated -4% rate change effective applicable to all policies on or after 7/1/20, including currently in-force policies.</t>
  </si>
  <si>
    <t>**See Note</t>
  </si>
  <si>
    <r>
      <t xml:space="preserve">Calculate the trended present rates indication by trending the residual indication with the net trend. The trend period is from the </t>
    </r>
    <r>
      <rPr>
        <b/>
        <i/>
        <u/>
        <sz val="12"/>
        <color theme="1"/>
        <rFont val="Calibri"/>
        <family val="2"/>
      </rPr>
      <t>target effective date of the last rate review</t>
    </r>
    <r>
      <rPr>
        <b/>
        <sz val="12"/>
        <color theme="1"/>
        <rFont val="Calibri"/>
        <family val="2"/>
      </rPr>
      <t xml:space="preserve"> to the </t>
    </r>
    <r>
      <rPr>
        <b/>
        <i/>
        <u/>
        <sz val="12"/>
        <color theme="1"/>
        <rFont val="Calibri"/>
        <family val="2"/>
      </rPr>
      <t>target effective date for the proposed rates</t>
    </r>
    <r>
      <rPr>
        <b/>
        <sz val="12"/>
        <color theme="1"/>
        <rFont val="Calibri"/>
        <family val="2"/>
      </rPr>
      <t>.</t>
    </r>
  </si>
  <si>
    <r>
      <t xml:space="preserve">&lt;-- The </t>
    </r>
    <r>
      <rPr>
        <i/>
        <u/>
        <sz val="12"/>
        <color theme="1"/>
        <rFont val="Calibri"/>
        <family val="2"/>
      </rPr>
      <t>target</t>
    </r>
    <r>
      <rPr>
        <sz val="12"/>
        <color theme="1"/>
        <rFont val="Calibri"/>
        <family val="2"/>
      </rPr>
      <t xml:space="preserve"> effective date, not </t>
    </r>
    <r>
      <rPr>
        <i/>
        <u/>
        <sz val="12"/>
        <color theme="1"/>
        <rFont val="Calibri"/>
        <family val="2"/>
      </rPr>
      <t>actual</t>
    </r>
    <r>
      <rPr>
        <sz val="12"/>
        <color theme="1"/>
        <rFont val="Calibri"/>
        <family val="2"/>
      </rPr>
      <t xml:space="preserve"> effective date</t>
    </r>
  </si>
  <si>
    <t xml:space="preserve">Target Effective Date of Last Rate Review  = </t>
  </si>
  <si>
    <t>The loss ratio method is more commonly used. It compares the percentage of each premium dollar needed to cover projected future losses, LAE, and fixed expenses the the portion of each premium dollar available at current rates to pay for these.
The pure premium method and loss ratio method are mathematically equivalent as long as the data and assumptions are the same. This is because they both derive from the fundamental insurance equation. See the section in Werner for the dervation and equivalency between the methods.</t>
  </si>
  <si>
    <r>
      <rPr>
        <b/>
        <sz val="12"/>
        <color theme="1"/>
        <rFont val="Calibri"/>
        <family val="2"/>
      </rPr>
      <t>Note:</t>
    </r>
    <r>
      <rPr>
        <sz val="12"/>
        <color theme="1"/>
        <rFont val="Calibri"/>
        <family val="2"/>
      </rPr>
      <t xml:space="preserve">
There are </t>
    </r>
    <r>
      <rPr>
        <i/>
        <u/>
        <sz val="12"/>
        <color theme="1"/>
        <rFont val="Calibri"/>
        <family val="2"/>
      </rPr>
      <t>always</t>
    </r>
    <r>
      <rPr>
        <sz val="12"/>
        <color theme="1"/>
        <rFont val="Calibri"/>
        <family val="2"/>
      </rPr>
      <t xml:space="preserve"> loss ratio indication problems and they usually have a good amount of points. It’s </t>
    </r>
    <r>
      <rPr>
        <i/>
        <u/>
        <sz val="12"/>
        <color theme="1"/>
        <rFont val="Calibri"/>
        <family val="2"/>
      </rPr>
      <t>critical</t>
    </r>
    <r>
      <rPr>
        <sz val="12"/>
        <color theme="1"/>
        <rFont val="Calibri"/>
        <family val="2"/>
      </rPr>
      <t xml:space="preserve"> that you’re comfortable doing a full rate indication from start to finish on the exam using all the methods and data adjustments from chapters 4-8.</t>
    </r>
  </si>
  <si>
    <t xml:space="preserve">CAS Spring 2018 – 8  </t>
  </si>
  <si>
    <t>CAS Spring 2018 Makeup – 6</t>
  </si>
  <si>
    <t>CAS Fall 2017 – 15</t>
  </si>
  <si>
    <t>CAS Spring 2018 Makeup – 11</t>
  </si>
  <si>
    <t>CAS Spring 2018 Makeup – 15</t>
  </si>
  <si>
    <t>CAS Fall 2017 – 1</t>
  </si>
  <si>
    <t>CAS Spring 2016 –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</si>
</sst>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_(* #,##0_);_(* \(#,##0\);_(* &quot;-&quot;??_);_(@_)"/>
    <numFmt numFmtId="168" formatCode="0.000"/>
    <numFmt numFmtId="169" formatCode="#,##0.000"/>
    <numFmt numFmtId="170" formatCode="0.0000"/>
    <numFmt numFmtId="171" formatCode="#,##0.0"/>
    <numFmt numFmtId="172" formatCode="m/d/yyyy;@"/>
    <numFmt numFmtId="173" formatCode="#,##0;#,##0;&quot;-&quot;"/>
    <numFmt numFmtId="175" formatCode="&quot;$&quot;#,##0.00"/>
    <numFmt numFmtId="177" formatCode="0.000%"/>
    <numFmt numFmtId="178" formatCode="#,##0.00;\-#,##0.00;&quot;-&quot;"/>
  </numFmts>
  <fonts count="65" x14ac:knownFonts="1">
    <font>
      <sz val="12"/>
      <color theme="1"/>
      <name val="Calibri"/>
      <family val="2"/>
      <scheme val="minor"/>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sz val="12"/>
      <color theme="1"/>
      <name val="Calibri"/>
      <family val="2"/>
    </font>
    <font>
      <b/>
      <sz val="12"/>
      <color theme="1"/>
      <name val="Calibri"/>
      <family val="2"/>
    </font>
    <font>
      <sz val="12"/>
      <color theme="1"/>
      <name val="Calibri"/>
      <family val="2"/>
      <scheme val="minor"/>
    </font>
    <font>
      <sz val="12"/>
      <color theme="1"/>
      <name val="Arial"/>
      <family val="2"/>
    </font>
    <font>
      <sz val="11"/>
      <color theme="1"/>
      <name val="Calibri"/>
      <family val="2"/>
    </font>
    <font>
      <b/>
      <sz val="14"/>
      <color theme="1"/>
      <name val="Calibri"/>
      <family val="2"/>
    </font>
    <font>
      <u/>
      <sz val="14"/>
      <color theme="1"/>
      <name val="Calibri"/>
      <family val="2"/>
    </font>
    <font>
      <b/>
      <u/>
      <sz val="12"/>
      <color theme="1"/>
      <name val="Calibri"/>
      <family val="2"/>
    </font>
    <font>
      <u/>
      <sz val="12"/>
      <color rgb="FFFF0000"/>
      <name val="Calibri"/>
      <family val="2"/>
    </font>
    <font>
      <b/>
      <i/>
      <u/>
      <sz val="12"/>
      <color theme="1"/>
      <name val="Calibri"/>
      <family val="2"/>
    </font>
    <font>
      <i/>
      <u/>
      <sz val="12"/>
      <color theme="1"/>
      <name val="Calibri"/>
      <family val="2"/>
    </font>
    <font>
      <b/>
      <u/>
      <sz val="14"/>
      <color theme="1"/>
      <name val="Calibri"/>
      <family val="2"/>
    </font>
    <font>
      <sz val="14"/>
      <color theme="1"/>
      <name val="Calibri"/>
      <family val="2"/>
    </font>
    <font>
      <u/>
      <sz val="12"/>
      <color theme="1"/>
      <name val="Calibri"/>
      <family val="2"/>
      <scheme val="minor"/>
    </font>
    <font>
      <sz val="12"/>
      <color theme="1"/>
      <name val="Calibri (Body)"/>
    </font>
    <font>
      <vertAlign val="subscript"/>
      <sz val="12"/>
      <color theme="1"/>
      <name val="Calibri (Body)"/>
    </font>
    <font>
      <sz val="12"/>
      <color rgb="FFFF0000"/>
      <name val="Calibri"/>
      <family val="2"/>
    </font>
    <font>
      <u/>
      <sz val="12"/>
      <color theme="1"/>
      <name val="Calibri"/>
      <family val="2"/>
    </font>
    <font>
      <u/>
      <sz val="12"/>
      <color rgb="FFFF0000"/>
      <name val="Calibri (Body)"/>
    </font>
    <font>
      <sz val="8"/>
      <name val="Calibri"/>
      <family val="2"/>
      <scheme val="minor"/>
    </font>
    <font>
      <b/>
      <sz val="12"/>
      <color theme="1"/>
      <name val="Calibri"/>
      <family val="2"/>
      <scheme val="minor"/>
    </font>
    <font>
      <sz val="10"/>
      <color rgb="FF000000"/>
      <name val="Tahoma"/>
      <family val="2"/>
    </font>
    <font>
      <b/>
      <sz val="10"/>
      <color rgb="FF000000"/>
      <name val="Tahoma"/>
      <family val="2"/>
    </font>
    <font>
      <sz val="10"/>
      <color theme="1"/>
      <name val="Calibri"/>
      <family val="2"/>
    </font>
    <font>
      <b/>
      <sz val="12"/>
      <color rgb="FF000000"/>
      <name val="Calibri"/>
      <family val="2"/>
      <scheme val="minor"/>
    </font>
    <font>
      <b/>
      <i/>
      <u/>
      <sz val="12"/>
      <color rgb="FF000000"/>
      <name val="Calibri"/>
      <family val="2"/>
      <scheme val="minor"/>
    </font>
    <font>
      <b/>
      <sz val="12"/>
      <color rgb="FFFF0000"/>
      <name val="Calibri"/>
      <family val="2"/>
    </font>
    <font>
      <sz val="11"/>
      <color theme="1"/>
      <name val="Calibri"/>
      <family val="2"/>
      <scheme val="minor"/>
    </font>
    <font>
      <i/>
      <u/>
      <sz val="12"/>
      <color theme="1"/>
      <name val="Calibri (Body)"/>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37">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ashed">
        <color indexed="64"/>
      </right>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36" fillId="0" borderId="0" applyFont="0" applyFill="0" applyBorder="0" applyAlignment="0" applyProtection="0"/>
    <xf numFmtId="44" fontId="38" fillId="0" borderId="0" applyFont="0" applyFill="0" applyBorder="0" applyAlignment="0" applyProtection="0"/>
    <xf numFmtId="9" fontId="36" fillId="0" borderId="0" applyFont="0" applyFill="0" applyBorder="0" applyAlignment="0" applyProtection="0"/>
    <xf numFmtId="0" fontId="63" fillId="0" borderId="0"/>
  </cellStyleXfs>
  <cellXfs count="725">
    <xf numFmtId="0" fontId="0" fillId="0" borderId="0" xfId="0"/>
    <xf numFmtId="0" fontId="39" fillId="0" borderId="0" xfId="0" applyFont="1"/>
    <xf numFmtId="0" fontId="40" fillId="0" borderId="0" xfId="0" applyFont="1"/>
    <xf numFmtId="0" fontId="35" fillId="0" borderId="0" xfId="0" applyFont="1"/>
    <xf numFmtId="0" fontId="41" fillId="0" borderId="0" xfId="0" applyFont="1"/>
    <xf numFmtId="0" fontId="42" fillId="0" borderId="0" xfId="0" applyFont="1"/>
    <xf numFmtId="0" fontId="37" fillId="0" borderId="0" xfId="0" applyFont="1" applyAlignment="1">
      <alignment horizontal="right"/>
    </xf>
    <xf numFmtId="0" fontId="37" fillId="0" borderId="0" xfId="0" applyFont="1"/>
    <xf numFmtId="0" fontId="43" fillId="0" borderId="0" xfId="0" applyFont="1"/>
    <xf numFmtId="2" fontId="0" fillId="0" borderId="0" xfId="0" applyNumberFormat="1" applyAlignment="1">
      <alignment horizontal="center"/>
    </xf>
    <xf numFmtId="3" fontId="0" fillId="0" borderId="0" xfId="0" applyNumberFormat="1" applyAlignment="1">
      <alignment horizontal="center" vertical="center"/>
    </xf>
    <xf numFmtId="0" fontId="0" fillId="0" borderId="1" xfId="0" applyBorder="1" applyAlignment="1">
      <alignment horizontal="center" vertical="center"/>
    </xf>
    <xf numFmtId="3" fontId="0" fillId="0" borderId="2" xfId="0" applyNumberForma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wrapText="1"/>
    </xf>
    <xf numFmtId="0" fontId="0" fillId="0" borderId="4" xfId="0" applyBorder="1" applyAlignment="1">
      <alignment horizontal="center"/>
    </xf>
    <xf numFmtId="40" fontId="0" fillId="0" borderId="0" xfId="0" applyNumberFormat="1" applyAlignment="1">
      <alignment horizontal="center" wrapText="1"/>
    </xf>
    <xf numFmtId="0" fontId="0" fillId="0" borderId="1" xfId="0" applyBorder="1" applyAlignment="1">
      <alignment horizontal="center"/>
    </xf>
    <xf numFmtId="0" fontId="39" fillId="2" borderId="5" xfId="0" applyFont="1" applyFill="1" applyBorder="1"/>
    <xf numFmtId="0" fontId="35" fillId="2" borderId="6" xfId="0" applyFont="1" applyFill="1" applyBorder="1"/>
    <xf numFmtId="164" fontId="35" fillId="2" borderId="6" xfId="2" applyNumberFormat="1" applyFont="1" applyFill="1" applyBorder="1"/>
    <xf numFmtId="0" fontId="35" fillId="2" borderId="7" xfId="0" applyFont="1" applyFill="1" applyBorder="1"/>
    <xf numFmtId="0" fontId="39" fillId="2" borderId="8" xfId="0" applyFont="1" applyFill="1" applyBorder="1"/>
    <xf numFmtId="0" fontId="35" fillId="2" borderId="0" xfId="0" applyFont="1" applyFill="1" applyAlignment="1">
      <alignment vertical="center" wrapText="1"/>
    </xf>
    <xf numFmtId="2" fontId="35" fillId="2" borderId="9" xfId="0" applyNumberFormat="1" applyFont="1" applyFill="1" applyBorder="1" applyAlignment="1">
      <alignment horizontal="left"/>
    </xf>
    <xf numFmtId="0" fontId="35" fillId="2" borderId="0" xfId="0" applyFont="1" applyFill="1"/>
    <xf numFmtId="3" fontId="35" fillId="2" borderId="0" xfId="0" applyNumberFormat="1" applyFont="1" applyFill="1" applyAlignment="1">
      <alignment horizontal="center" vertical="center"/>
    </xf>
    <xf numFmtId="165" fontId="35" fillId="2" borderId="0" xfId="0" applyNumberFormat="1" applyFont="1" applyFill="1" applyAlignment="1">
      <alignment horizontal="center" vertical="center"/>
    </xf>
    <xf numFmtId="0" fontId="37" fillId="2" borderId="0" xfId="0" applyFont="1" applyFill="1"/>
    <xf numFmtId="0" fontId="41" fillId="2" borderId="9" xfId="0" applyFont="1" applyFill="1" applyBorder="1"/>
    <xf numFmtId="0" fontId="35" fillId="2" borderId="4" xfId="0" applyFont="1" applyFill="1" applyBorder="1" applyAlignment="1">
      <alignment horizontal="center"/>
    </xf>
    <xf numFmtId="3" fontId="35" fillId="2" borderId="4" xfId="0" applyNumberFormat="1" applyFont="1" applyFill="1" applyBorder="1" applyAlignment="1">
      <alignment horizontal="center" vertical="center"/>
    </xf>
    <xf numFmtId="0" fontId="35" fillId="2" borderId="0" xfId="0" applyFont="1" applyFill="1" applyAlignment="1">
      <alignment vertical="center"/>
    </xf>
    <xf numFmtId="0" fontId="35" fillId="0" borderId="10" xfId="0" applyFont="1" applyBorder="1" applyAlignment="1">
      <alignment horizontal="center" wrapText="1"/>
    </xf>
    <xf numFmtId="0" fontId="35" fillId="0" borderId="11" xfId="0" applyFont="1" applyBorder="1"/>
    <xf numFmtId="0" fontId="35" fillId="0" borderId="0" xfId="0" applyFont="1" applyAlignment="1">
      <alignment vertical="top" wrapText="1"/>
    </xf>
    <xf numFmtId="168" fontId="35" fillId="0" borderId="0" xfId="0" applyNumberFormat="1" applyFont="1"/>
    <xf numFmtId="0" fontId="47" fillId="0" borderId="0" xfId="0" applyFont="1"/>
    <xf numFmtId="0" fontId="48" fillId="0" borderId="0" xfId="0" applyFont="1"/>
    <xf numFmtId="0" fontId="35" fillId="0" borderId="4" xfId="0" applyFont="1" applyBorder="1" applyAlignment="1">
      <alignment horizontal="center" wrapText="1"/>
    </xf>
    <xf numFmtId="0" fontId="35" fillId="0" borderId="0" xfId="0" applyFont="1" applyAlignment="1">
      <alignment horizontal="center"/>
    </xf>
    <xf numFmtId="0" fontId="35" fillId="0" borderId="4" xfId="0" applyFont="1" applyBorder="1" applyAlignment="1">
      <alignment horizontal="center"/>
    </xf>
    <xf numFmtId="0" fontId="35" fillId="0" borderId="10" xfId="0" applyFont="1" applyBorder="1" applyAlignment="1">
      <alignment horizontal="center"/>
    </xf>
    <xf numFmtId="0" fontId="35" fillId="0" borderId="1" xfId="0" applyFont="1" applyBorder="1" applyAlignment="1">
      <alignment horizontal="center"/>
    </xf>
    <xf numFmtId="3" fontId="35" fillId="2" borderId="0" xfId="0" applyNumberFormat="1" applyFont="1" applyFill="1" applyAlignment="1">
      <alignment horizontal="left" vertical="center"/>
    </xf>
    <xf numFmtId="167" fontId="35" fillId="0" borderId="0" xfId="1" applyNumberFormat="1" applyFont="1" applyAlignment="1">
      <alignment horizontal="left" indent="1"/>
    </xf>
    <xf numFmtId="167" fontId="35" fillId="0" borderId="4" xfId="1" applyNumberFormat="1" applyFont="1" applyBorder="1" applyAlignment="1">
      <alignment horizontal="left" indent="1"/>
    </xf>
    <xf numFmtId="0" fontId="49" fillId="0" borderId="0" xfId="0" applyFont="1"/>
    <xf numFmtId="0" fontId="50" fillId="0" borderId="0" xfId="0" applyFont="1"/>
    <xf numFmtId="9" fontId="35" fillId="0" borderId="0" xfId="3" applyFont="1" applyAlignment="1">
      <alignment horizontal="center"/>
    </xf>
    <xf numFmtId="0" fontId="35" fillId="0" borderId="0" xfId="0" applyFont="1" applyAlignment="1">
      <alignment vertical="top"/>
    </xf>
    <xf numFmtId="0" fontId="42" fillId="0" borderId="0" xfId="0" applyFont="1" applyAlignment="1">
      <alignment vertical="top"/>
    </xf>
    <xf numFmtId="0" fontId="35" fillId="0" borderId="0" xfId="0" quotePrefix="1" applyFont="1" applyAlignment="1">
      <alignment horizontal="left" indent="2"/>
    </xf>
    <xf numFmtId="0" fontId="35" fillId="0" borderId="0" xfId="0" quotePrefix="1" applyFont="1" applyAlignment="1">
      <alignment horizontal="left" vertical="top" indent="2"/>
    </xf>
    <xf numFmtId="0" fontId="37" fillId="0" borderId="0" xfId="0" applyFont="1" applyAlignment="1">
      <alignment horizontal="left" wrapText="1"/>
    </xf>
    <xf numFmtId="0" fontId="34" fillId="2" borderId="0" xfId="0" applyFont="1" applyFill="1"/>
    <xf numFmtId="2" fontId="34" fillId="2" borderId="9" xfId="0" applyNumberFormat="1" applyFont="1" applyFill="1" applyBorder="1" applyAlignment="1">
      <alignment horizontal="left"/>
    </xf>
    <xf numFmtId="0" fontId="34" fillId="2" borderId="0" xfId="0" applyFont="1" applyFill="1" applyAlignment="1">
      <alignment vertical="top"/>
    </xf>
    <xf numFmtId="0" fontId="34" fillId="2" borderId="0" xfId="0" applyFont="1" applyFill="1" applyAlignment="1">
      <alignment vertical="top" wrapText="1"/>
    </xf>
    <xf numFmtId="3" fontId="34" fillId="2" borderId="0" xfId="0" applyNumberFormat="1" applyFont="1" applyFill="1" applyAlignment="1">
      <alignment horizontal="center" vertical="center"/>
    </xf>
    <xf numFmtId="9" fontId="34" fillId="2" borderId="0" xfId="3" applyFont="1" applyFill="1" applyAlignment="1">
      <alignment horizontal="center" vertical="center"/>
    </xf>
    <xf numFmtId="165" fontId="34" fillId="2" borderId="0" xfId="0" applyNumberFormat="1" applyFont="1" applyFill="1" applyAlignment="1">
      <alignment horizontal="center" vertical="center"/>
    </xf>
    <xf numFmtId="0" fontId="34" fillId="2" borderId="0" xfId="0" applyFont="1" applyFill="1" applyAlignment="1">
      <alignment vertical="center"/>
    </xf>
    <xf numFmtId="0" fontId="34" fillId="2" borderId="0" xfId="0" applyFont="1" applyFill="1" applyAlignment="1">
      <alignment vertical="center" wrapText="1"/>
    </xf>
    <xf numFmtId="0" fontId="34" fillId="2" borderId="6" xfId="0" applyFont="1" applyFill="1" applyBorder="1"/>
    <xf numFmtId="164" fontId="34" fillId="2" borderId="6" xfId="2" applyNumberFormat="1" applyFont="1" applyFill="1" applyBorder="1"/>
    <xf numFmtId="3" fontId="34" fillId="2" borderId="1" xfId="0" applyNumberFormat="1" applyFont="1" applyFill="1" applyBorder="1" applyAlignment="1">
      <alignment horizontal="center" vertical="center"/>
    </xf>
    <xf numFmtId="14" fontId="34" fillId="2" borderId="0" xfId="0" applyNumberFormat="1" applyFont="1" applyFill="1" applyAlignment="1">
      <alignment horizontal="center" vertical="center"/>
    </xf>
    <xf numFmtId="2" fontId="34" fillId="2" borderId="9" xfId="0" applyNumberFormat="1" applyFont="1" applyFill="1" applyBorder="1" applyAlignment="1">
      <alignment horizontal="right"/>
    </xf>
    <xf numFmtId="0" fontId="34" fillId="2" borderId="7" xfId="0" applyFont="1" applyFill="1" applyBorder="1" applyAlignment="1">
      <alignment horizontal="right"/>
    </xf>
    <xf numFmtId="0" fontId="34" fillId="2" borderId="0" xfId="0" applyFont="1" applyFill="1" applyAlignment="1">
      <alignment horizontal="left"/>
    </xf>
    <xf numFmtId="0" fontId="33" fillId="0" borderId="0" xfId="0" applyFont="1"/>
    <xf numFmtId="0" fontId="0" fillId="2" borderId="0" xfId="0" applyFill="1"/>
    <xf numFmtId="2" fontId="33" fillId="0" borderId="0" xfId="0" applyNumberFormat="1" applyFont="1" applyAlignment="1">
      <alignment horizontal="center"/>
    </xf>
    <xf numFmtId="0" fontId="52" fillId="0" borderId="0" xfId="0" applyFont="1"/>
    <xf numFmtId="0" fontId="0" fillId="0" borderId="10" xfId="0" applyBorder="1" applyAlignment="1">
      <alignment horizontal="center" wrapText="1"/>
    </xf>
    <xf numFmtId="0" fontId="32" fillId="0" borderId="0" xfId="0" applyFont="1"/>
    <xf numFmtId="0" fontId="0" fillId="0" borderId="0" xfId="0" applyAlignment="1">
      <alignment horizontal="center" vertical="center"/>
    </xf>
    <xf numFmtId="0" fontId="0" fillId="0" borderId="10" xfId="0" applyBorder="1" applyAlignment="1">
      <alignment horizontal="center" vertical="center"/>
    </xf>
    <xf numFmtId="0" fontId="33" fillId="0" borderId="4" xfId="0" applyFont="1" applyBorder="1"/>
    <xf numFmtId="0" fontId="32" fillId="0" borderId="4" xfId="0" applyFont="1" applyBorder="1"/>
    <xf numFmtId="0" fontId="31" fillId="0" borderId="0" xfId="0" applyFont="1"/>
    <xf numFmtId="2" fontId="49" fillId="0" borderId="0" xfId="0" applyNumberFormat="1" applyFont="1" applyAlignment="1">
      <alignment horizontal="center"/>
    </xf>
    <xf numFmtId="0" fontId="37" fillId="0" borderId="0" xfId="0" applyFont="1" applyAlignment="1">
      <alignment horizontal="left"/>
    </xf>
    <xf numFmtId="0" fontId="31" fillId="0" borderId="4" xfId="0" applyFont="1" applyBorder="1"/>
    <xf numFmtId="0" fontId="0" fillId="0" borderId="18" xfId="0" applyBorder="1" applyAlignment="1">
      <alignment horizontal="center" vertical="center"/>
    </xf>
    <xf numFmtId="0" fontId="31" fillId="0" borderId="17" xfId="0" applyFont="1" applyBorder="1"/>
    <xf numFmtId="0" fontId="33" fillId="0" borderId="17" xfId="0" applyFont="1" applyBorder="1"/>
    <xf numFmtId="0" fontId="0" fillId="0" borderId="20" xfId="0" applyBorder="1" applyAlignment="1">
      <alignment horizontal="center" vertical="center"/>
    </xf>
    <xf numFmtId="0" fontId="32" fillId="0" borderId="19" xfId="0" applyFont="1" applyBorder="1"/>
    <xf numFmtId="0" fontId="33" fillId="0" borderId="19" xfId="0" applyFont="1" applyBorder="1"/>
    <xf numFmtId="0" fontId="0" fillId="0" borderId="10" xfId="0" applyBorder="1" applyAlignment="1">
      <alignment horizontal="center"/>
    </xf>
    <xf numFmtId="2" fontId="54" fillId="0" borderId="0" xfId="0" applyNumberFormat="1" applyFont="1"/>
    <xf numFmtId="14" fontId="0" fillId="0" borderId="23" xfId="0" applyNumberFormat="1" applyBorder="1" applyAlignment="1">
      <alignment horizontal="center"/>
    </xf>
    <xf numFmtId="0" fontId="33" fillId="0" borderId="0" xfId="0" applyFont="1" applyAlignment="1">
      <alignment vertical="top"/>
    </xf>
    <xf numFmtId="0" fontId="31" fillId="0" borderId="0" xfId="0" applyFont="1" applyAlignment="1">
      <alignment vertical="top"/>
    </xf>
    <xf numFmtId="0" fontId="33" fillId="0" borderId="0" xfId="0" applyFont="1" applyAlignment="1">
      <alignment horizontal="left" vertical="top" wrapText="1"/>
    </xf>
    <xf numFmtId="0" fontId="30" fillId="0" borderId="0" xfId="0" applyFont="1" applyAlignment="1">
      <alignment horizontal="left" vertical="top" wrapText="1"/>
    </xf>
    <xf numFmtId="0" fontId="30" fillId="2" borderId="0" xfId="0" applyFont="1" applyFill="1"/>
    <xf numFmtId="0" fontId="30" fillId="2" borderId="8" xfId="0" applyFont="1" applyFill="1" applyBorder="1"/>
    <xf numFmtId="0" fontId="30" fillId="0" borderId="0" xfId="0" applyFont="1"/>
    <xf numFmtId="2" fontId="30" fillId="2" borderId="9" xfId="0" applyNumberFormat="1" applyFont="1" applyFill="1" applyBorder="1" applyAlignment="1">
      <alignment horizontal="left"/>
    </xf>
    <xf numFmtId="2" fontId="30" fillId="2" borderId="9" xfId="0" applyNumberFormat="1" applyFont="1" applyFill="1" applyBorder="1" applyAlignment="1">
      <alignment horizontal="right"/>
    </xf>
    <xf numFmtId="0" fontId="30" fillId="2" borderId="0" xfId="0" applyFont="1" applyFill="1" applyAlignment="1">
      <alignment vertical="top" wrapText="1"/>
    </xf>
    <xf numFmtId="3" fontId="30" fillId="2" borderId="0" xfId="0" applyNumberFormat="1" applyFont="1" applyFill="1" applyAlignment="1">
      <alignment horizontal="center" vertical="center"/>
    </xf>
    <xf numFmtId="0" fontId="30" fillId="2" borderId="1" xfId="0" applyFont="1" applyFill="1" applyBorder="1" applyAlignment="1">
      <alignment horizontal="center" vertical="center"/>
    </xf>
    <xf numFmtId="165" fontId="30" fillId="2" borderId="0" xfId="0" applyNumberFormat="1" applyFont="1" applyFill="1" applyAlignment="1">
      <alignment horizontal="center" vertical="center"/>
    </xf>
    <xf numFmtId="0" fontId="30" fillId="2" borderId="0" xfId="0" applyFont="1" applyFill="1" applyAlignment="1">
      <alignment vertical="center" wrapText="1"/>
    </xf>
    <xf numFmtId="0" fontId="30" fillId="2" borderId="7" xfId="0" applyFont="1" applyFill="1" applyBorder="1" applyAlignment="1">
      <alignment horizontal="right"/>
    </xf>
    <xf numFmtId="0" fontId="30" fillId="2" borderId="6" xfId="0" applyFont="1" applyFill="1" applyBorder="1"/>
    <xf numFmtId="164" fontId="30" fillId="2" borderId="6" xfId="2" applyNumberFormat="1" applyFont="1" applyFill="1" applyBorder="1"/>
    <xf numFmtId="0" fontId="30" fillId="2" borderId="5" xfId="0" applyFont="1" applyFill="1" applyBorder="1"/>
    <xf numFmtId="0" fontId="30" fillId="2" borderId="0" xfId="0" applyFont="1" applyFill="1" applyAlignment="1">
      <alignment vertical="center"/>
    </xf>
    <xf numFmtId="0" fontId="34" fillId="2" borderId="0" xfId="0" applyFont="1" applyFill="1" applyAlignment="1">
      <alignment horizontal="center" vertical="center"/>
    </xf>
    <xf numFmtId="0" fontId="30" fillId="0" borderId="0" xfId="0" applyFont="1" applyAlignment="1">
      <alignment horizontal="center"/>
    </xf>
    <xf numFmtId="0" fontId="30" fillId="0" borderId="1" xfId="0" applyFont="1" applyBorder="1" applyAlignment="1">
      <alignment horizontal="center"/>
    </xf>
    <xf numFmtId="14" fontId="0" fillId="0" borderId="0" xfId="0" applyNumberFormat="1" applyAlignment="1">
      <alignment horizontal="center" vertical="center"/>
    </xf>
    <xf numFmtId="169" fontId="0" fillId="0" borderId="0" xfId="0" applyNumberFormat="1" applyAlignment="1">
      <alignment horizontal="center"/>
    </xf>
    <xf numFmtId="169" fontId="0" fillId="0" borderId="0" xfId="0" applyNumberFormat="1" applyAlignment="1">
      <alignment horizontal="center" vertical="center"/>
    </xf>
    <xf numFmtId="0" fontId="34" fillId="3" borderId="3" xfId="0" applyFont="1" applyFill="1" applyBorder="1" applyAlignment="1">
      <alignment horizontal="center" vertical="center"/>
    </xf>
    <xf numFmtId="0" fontId="34" fillId="3" borderId="1" xfId="0" applyFont="1" applyFill="1" applyBorder="1" applyAlignment="1">
      <alignment horizontal="center" vertical="center"/>
    </xf>
    <xf numFmtId="0" fontId="30" fillId="3" borderId="10" xfId="0" applyFont="1" applyFill="1" applyBorder="1" applyAlignment="1">
      <alignment horizontal="center" wrapText="1"/>
    </xf>
    <xf numFmtId="0" fontId="30" fillId="0" borderId="15" xfId="0" applyFont="1" applyBorder="1" applyAlignment="1">
      <alignment horizontal="center"/>
    </xf>
    <xf numFmtId="0" fontId="30" fillId="0" borderId="16" xfId="0" applyFont="1" applyBorder="1" applyAlignment="1">
      <alignment horizontal="center"/>
    </xf>
    <xf numFmtId="0" fontId="30" fillId="0" borderId="4" xfId="0" applyFont="1" applyBorder="1" applyAlignment="1">
      <alignment horizontal="center"/>
    </xf>
    <xf numFmtId="0" fontId="30" fillId="0" borderId="10" xfId="0" applyFont="1" applyBorder="1" applyAlignment="1">
      <alignment horizontal="center"/>
    </xf>
    <xf numFmtId="169" fontId="30" fillId="0" borderId="15" xfId="0" applyNumberFormat="1" applyFont="1" applyBorder="1" applyAlignment="1">
      <alignment horizontal="center"/>
    </xf>
    <xf numFmtId="169" fontId="30" fillId="0" borderId="0" xfId="0" applyNumberFormat="1" applyFont="1" applyAlignment="1">
      <alignment horizontal="center"/>
    </xf>
    <xf numFmtId="169" fontId="30" fillId="0" borderId="1" xfId="0" applyNumberFormat="1" applyFont="1" applyBorder="1" applyAlignment="1">
      <alignment horizontal="center"/>
    </xf>
    <xf numFmtId="0" fontId="34" fillId="3" borderId="10" xfId="0" applyFont="1" applyFill="1" applyBorder="1" applyAlignment="1">
      <alignment horizontal="center" vertical="center"/>
    </xf>
    <xf numFmtId="10" fontId="30" fillId="0" borderId="15" xfId="3" applyNumberFormat="1" applyFont="1" applyBorder="1" applyAlignment="1">
      <alignment horizontal="center"/>
    </xf>
    <xf numFmtId="10" fontId="30" fillId="0" borderId="0" xfId="3" applyNumberFormat="1" applyFont="1" applyBorder="1" applyAlignment="1">
      <alignment horizontal="center"/>
    </xf>
    <xf numFmtId="10" fontId="30" fillId="0" borderId="1" xfId="3" applyNumberFormat="1" applyFont="1" applyBorder="1" applyAlignment="1">
      <alignment horizontal="center"/>
    </xf>
    <xf numFmtId="10" fontId="30" fillId="0" borderId="16" xfId="3" applyNumberFormat="1" applyFont="1" applyBorder="1" applyAlignment="1">
      <alignment horizontal="center"/>
    </xf>
    <xf numFmtId="10" fontId="30" fillId="0" borderId="4" xfId="3" applyNumberFormat="1" applyFont="1" applyBorder="1" applyAlignment="1">
      <alignment horizontal="center"/>
    </xf>
    <xf numFmtId="10" fontId="30" fillId="0" borderId="10" xfId="3" applyNumberFormat="1" applyFont="1" applyBorder="1" applyAlignment="1">
      <alignment horizontal="center"/>
    </xf>
    <xf numFmtId="170" fontId="30" fillId="0" borderId="0" xfId="0" applyNumberFormat="1" applyFont="1" applyAlignment="1">
      <alignment horizontal="center"/>
    </xf>
    <xf numFmtId="170" fontId="30" fillId="0" borderId="4" xfId="0" applyNumberFormat="1" applyFont="1" applyBorder="1" applyAlignment="1">
      <alignment horizontal="center"/>
    </xf>
    <xf numFmtId="0" fontId="30" fillId="0" borderId="0" xfId="0" applyFont="1" applyAlignment="1">
      <alignment horizontal="left" indent="2"/>
    </xf>
    <xf numFmtId="3" fontId="30" fillId="0" borderId="0" xfId="0" applyNumberFormat="1" applyFont="1" applyAlignment="1">
      <alignment horizontal="center"/>
    </xf>
    <xf numFmtId="0" fontId="53" fillId="0" borderId="0" xfId="0" applyFont="1" applyAlignment="1">
      <alignment horizontal="left" indent="2"/>
    </xf>
    <xf numFmtId="9" fontId="30" fillId="0" borderId="15" xfId="3" applyFont="1" applyBorder="1" applyAlignment="1">
      <alignment horizontal="center"/>
    </xf>
    <xf numFmtId="9" fontId="30" fillId="0" borderId="0" xfId="3" applyFont="1" applyBorder="1" applyAlignment="1">
      <alignment horizontal="center"/>
    </xf>
    <xf numFmtId="9" fontId="30" fillId="0" borderId="1" xfId="3" applyFont="1" applyBorder="1" applyAlignment="1">
      <alignment horizontal="center"/>
    </xf>
    <xf numFmtId="9" fontId="30" fillId="0" borderId="16" xfId="3" applyFont="1" applyBorder="1" applyAlignment="1">
      <alignment horizontal="center"/>
    </xf>
    <xf numFmtId="9" fontId="30" fillId="0" borderId="4" xfId="3" applyFont="1" applyBorder="1" applyAlignment="1">
      <alignment horizontal="center"/>
    </xf>
    <xf numFmtId="9" fontId="30" fillId="0" borderId="10" xfId="3" applyFont="1" applyBorder="1" applyAlignment="1">
      <alignment horizontal="center"/>
    </xf>
    <xf numFmtId="0" fontId="30" fillId="0" borderId="24" xfId="0" applyFont="1" applyBorder="1" applyAlignment="1">
      <alignment horizontal="center"/>
    </xf>
    <xf numFmtId="0" fontId="30" fillId="0" borderId="25" xfId="0" applyFont="1" applyBorder="1" applyAlignment="1">
      <alignment horizontal="center"/>
    </xf>
    <xf numFmtId="170" fontId="30" fillId="0" borderId="26" xfId="0" applyNumberFormat="1" applyFont="1" applyBorder="1" applyAlignment="1">
      <alignment horizontal="center"/>
    </xf>
    <xf numFmtId="170" fontId="30" fillId="0" borderId="27" xfId="0" applyNumberFormat="1" applyFont="1" applyBorder="1" applyAlignment="1">
      <alignment horizontal="center"/>
    </xf>
    <xf numFmtId="0" fontId="30" fillId="0" borderId="0" xfId="0" quotePrefix="1" applyFont="1" applyAlignment="1">
      <alignment horizontal="left" vertical="top" indent="2"/>
    </xf>
    <xf numFmtId="0" fontId="30" fillId="0" borderId="0" xfId="0" applyFont="1" applyAlignment="1">
      <alignment horizontal="left" vertical="top"/>
    </xf>
    <xf numFmtId="14" fontId="0" fillId="0" borderId="19" xfId="0" applyNumberFormat="1" applyBorder="1" applyAlignment="1">
      <alignment horizontal="center" vertical="center"/>
    </xf>
    <xf numFmtId="169" fontId="0" fillId="0" borderId="19" xfId="0" applyNumberFormat="1" applyBorder="1" applyAlignment="1">
      <alignment horizontal="center" vertical="center"/>
    </xf>
    <xf numFmtId="0" fontId="30" fillId="0" borderId="29" xfId="0" applyFont="1" applyBorder="1" applyAlignment="1">
      <alignment horizontal="center"/>
    </xf>
    <xf numFmtId="169" fontId="30" fillId="0" borderId="28" xfId="0" applyNumberFormat="1" applyFont="1" applyBorder="1" applyAlignment="1">
      <alignment horizontal="center"/>
    </xf>
    <xf numFmtId="0" fontId="37" fillId="0" borderId="0" xfId="0" applyFont="1" applyAlignment="1">
      <alignment horizontal="left" vertical="top"/>
    </xf>
    <xf numFmtId="10" fontId="30" fillId="0" borderId="28" xfId="3" applyNumberFormat="1" applyFont="1" applyBorder="1" applyAlignment="1">
      <alignment horizontal="center"/>
    </xf>
    <xf numFmtId="10" fontId="30" fillId="0" borderId="29" xfId="3" applyNumberFormat="1" applyFont="1" applyBorder="1" applyAlignment="1">
      <alignment horizontal="center"/>
    </xf>
    <xf numFmtId="0" fontId="0" fillId="4" borderId="1" xfId="0" applyFill="1" applyBorder="1" applyAlignment="1">
      <alignment horizontal="center" vertical="center"/>
    </xf>
    <xf numFmtId="14" fontId="0" fillId="4" borderId="0" xfId="0" applyNumberFormat="1" applyFill="1" applyAlignment="1">
      <alignment horizontal="center" vertical="center"/>
    </xf>
    <xf numFmtId="169" fontId="0" fillId="4" borderId="0" xfId="0" applyNumberFormat="1" applyFill="1" applyAlignment="1">
      <alignment horizontal="center" vertical="center"/>
    </xf>
    <xf numFmtId="0" fontId="0" fillId="4" borderId="20" xfId="0" applyFill="1" applyBorder="1" applyAlignment="1">
      <alignment horizontal="center" vertical="center"/>
    </xf>
    <xf numFmtId="14" fontId="0" fillId="4" borderId="19" xfId="0" applyNumberFormat="1" applyFill="1" applyBorder="1" applyAlignment="1">
      <alignment horizontal="center" vertical="center"/>
    </xf>
    <xf numFmtId="169" fontId="0" fillId="4" borderId="19" xfId="0" applyNumberFormat="1" applyFill="1" applyBorder="1" applyAlignment="1">
      <alignment horizontal="center" vertical="center"/>
    </xf>
    <xf numFmtId="0" fontId="30" fillId="4" borderId="4" xfId="0" applyFont="1" applyFill="1" applyBorder="1" applyAlignment="1">
      <alignment horizontal="center"/>
    </xf>
    <xf numFmtId="0" fontId="30" fillId="4" borderId="29" xfId="0" applyFont="1" applyFill="1" applyBorder="1" applyAlignment="1">
      <alignment horizontal="center"/>
    </xf>
    <xf numFmtId="10" fontId="30" fillId="4" borderId="0" xfId="3" applyNumberFormat="1" applyFont="1" applyFill="1" applyBorder="1" applyAlignment="1">
      <alignment horizontal="center"/>
    </xf>
    <xf numFmtId="10" fontId="30" fillId="4" borderId="28" xfId="3" applyNumberFormat="1" applyFont="1" applyFill="1" applyBorder="1" applyAlignment="1">
      <alignment horizontal="center"/>
    </xf>
    <xf numFmtId="10" fontId="30" fillId="4" borderId="4" xfId="3" applyNumberFormat="1" applyFont="1" applyFill="1" applyBorder="1" applyAlignment="1">
      <alignment horizontal="center"/>
    </xf>
    <xf numFmtId="10" fontId="30" fillId="4" borderId="29" xfId="3" applyNumberFormat="1" applyFont="1" applyFill="1" applyBorder="1" applyAlignment="1">
      <alignment horizontal="center"/>
    </xf>
    <xf numFmtId="169" fontId="30" fillId="4" borderId="0" xfId="0" applyNumberFormat="1" applyFont="1" applyFill="1" applyAlignment="1">
      <alignment horizontal="center"/>
    </xf>
    <xf numFmtId="169" fontId="30" fillId="4" borderId="28" xfId="0" applyNumberFormat="1" applyFont="1" applyFill="1" applyBorder="1" applyAlignment="1">
      <alignment horizontal="center"/>
    </xf>
    <xf numFmtId="169" fontId="0" fillId="0" borderId="2" xfId="0" applyNumberFormat="1" applyBorder="1" applyAlignment="1">
      <alignment horizontal="center"/>
    </xf>
    <xf numFmtId="0" fontId="29" fillId="2" borderId="0" xfId="0" applyFont="1" applyFill="1"/>
    <xf numFmtId="0" fontId="30" fillId="2" borderId="0" xfId="0" applyFont="1" applyFill="1" applyAlignment="1">
      <alignment horizontal="center" wrapText="1"/>
    </xf>
    <xf numFmtId="0" fontId="44" fillId="2" borderId="0" xfId="0" applyFont="1" applyFill="1" applyAlignment="1">
      <alignment vertical="center"/>
    </xf>
    <xf numFmtId="0" fontId="29" fillId="0" borderId="0" xfId="0" applyFont="1" applyAlignment="1">
      <alignment horizontal="center"/>
    </xf>
    <xf numFmtId="0" fontId="29" fillId="0" borderId="1" xfId="0" applyFont="1" applyBorder="1" applyAlignment="1">
      <alignment horizontal="center" wrapText="1"/>
    </xf>
    <xf numFmtId="0" fontId="29" fillId="0" borderId="10" xfId="0" applyFont="1" applyBorder="1" applyAlignment="1">
      <alignment horizontal="center" wrapText="1"/>
    </xf>
    <xf numFmtId="3" fontId="0" fillId="0" borderId="19" xfId="0" applyNumberFormat="1" applyBorder="1" applyAlignment="1">
      <alignment horizontal="center" vertical="center"/>
    </xf>
    <xf numFmtId="0" fontId="30" fillId="0" borderId="19" xfId="0" applyFont="1" applyBorder="1" applyAlignment="1">
      <alignment horizontal="center"/>
    </xf>
    <xf numFmtId="1" fontId="0" fillId="0" borderId="0" xfId="0" applyNumberFormat="1" applyAlignment="1">
      <alignment horizontal="center"/>
    </xf>
    <xf numFmtId="2" fontId="30" fillId="0" borderId="0" xfId="0" applyNumberFormat="1" applyFont="1" applyAlignment="1">
      <alignment horizontal="center"/>
    </xf>
    <xf numFmtId="2" fontId="30" fillId="0" borderId="19" xfId="0" applyNumberFormat="1" applyFont="1" applyBorder="1" applyAlignment="1">
      <alignment horizontal="center"/>
    </xf>
    <xf numFmtId="3" fontId="30" fillId="0" borderId="0" xfId="0" applyNumberFormat="1" applyFont="1"/>
    <xf numFmtId="0" fontId="29" fillId="0" borderId="0" xfId="0" applyFont="1" applyAlignment="1">
      <alignment horizontal="center" wrapText="1"/>
    </xf>
    <xf numFmtId="0" fontId="29" fillId="0" borderId="4" xfId="0" applyFont="1" applyBorder="1" applyAlignment="1">
      <alignment horizontal="center" wrapText="1"/>
    </xf>
    <xf numFmtId="0" fontId="29" fillId="0" borderId="0" xfId="0" applyFont="1" applyAlignment="1">
      <alignment horizontal="center" vertical="center"/>
    </xf>
    <xf numFmtId="0" fontId="29" fillId="0" borderId="19" xfId="0" applyFont="1" applyBorder="1" applyAlignment="1">
      <alignment horizontal="center" vertical="center"/>
    </xf>
    <xf numFmtId="40" fontId="0" fillId="0" borderId="4" xfId="0" applyNumberFormat="1" applyBorder="1" applyAlignment="1">
      <alignment horizontal="center" wrapText="1"/>
    </xf>
    <xf numFmtId="0" fontId="29" fillId="0" borderId="2" xfId="0" applyFont="1" applyBorder="1" applyAlignment="1">
      <alignment horizontal="center" vertical="center"/>
    </xf>
    <xf numFmtId="14" fontId="29" fillId="0" borderId="1" xfId="0" applyNumberFormat="1" applyFont="1" applyBorder="1" applyAlignment="1">
      <alignment horizontal="center" vertical="center"/>
    </xf>
    <xf numFmtId="14" fontId="29" fillId="0" borderId="20" xfId="0" applyNumberFormat="1" applyFont="1" applyBorder="1" applyAlignment="1">
      <alignment horizontal="center" vertical="center"/>
    </xf>
    <xf numFmtId="0" fontId="28" fillId="0" borderId="0" xfId="0" applyFont="1"/>
    <xf numFmtId="0" fontId="28" fillId="0" borderId="4" xfId="0" applyFont="1" applyBorder="1"/>
    <xf numFmtId="0" fontId="28" fillId="0" borderId="0" xfId="0" applyFont="1" applyAlignment="1">
      <alignment horizontal="center"/>
    </xf>
    <xf numFmtId="2" fontId="28" fillId="0" borderId="0" xfId="0" applyNumberFormat="1" applyFont="1" applyAlignment="1">
      <alignment horizontal="center"/>
    </xf>
    <xf numFmtId="0" fontId="28" fillId="0" borderId="1" xfId="0" applyFont="1" applyBorder="1" applyAlignment="1">
      <alignment horizontal="center" wrapText="1"/>
    </xf>
    <xf numFmtId="0" fontId="28" fillId="0" borderId="10" xfId="0" applyFont="1" applyBorder="1" applyAlignment="1">
      <alignment horizontal="center" wrapText="1"/>
    </xf>
    <xf numFmtId="0" fontId="29" fillId="0" borderId="1" xfId="0" applyFont="1" applyBorder="1" applyAlignment="1">
      <alignment horizontal="center" vertical="center"/>
    </xf>
    <xf numFmtId="0" fontId="27" fillId="2" borderId="0" xfId="0" applyFont="1" applyFill="1"/>
    <xf numFmtId="0" fontId="27" fillId="2" borderId="10" xfId="0" applyFont="1" applyFill="1" applyBorder="1" applyAlignment="1">
      <alignment horizontal="center" wrapText="1"/>
    </xf>
    <xf numFmtId="17" fontId="30" fillId="2" borderId="0" xfId="0" applyNumberFormat="1" applyFont="1" applyFill="1" applyAlignment="1">
      <alignment horizontal="center" vertical="center"/>
    </xf>
    <xf numFmtId="3" fontId="30" fillId="2" borderId="0" xfId="0" applyNumberFormat="1" applyFont="1" applyFill="1" applyAlignment="1">
      <alignment horizontal="center"/>
    </xf>
    <xf numFmtId="0" fontId="27" fillId="0" borderId="0" xfId="0" applyFont="1"/>
    <xf numFmtId="0" fontId="27" fillId="0" borderId="0" xfId="0" applyFont="1" applyAlignment="1">
      <alignment horizontal="center"/>
    </xf>
    <xf numFmtId="0" fontId="27" fillId="0" borderId="1" xfId="0" applyFont="1" applyBorder="1" applyAlignment="1">
      <alignment horizontal="center"/>
    </xf>
    <xf numFmtId="17" fontId="30" fillId="0" borderId="3" xfId="0" applyNumberFormat="1" applyFont="1" applyBorder="1" applyAlignment="1">
      <alignment horizontal="center" vertical="center"/>
    </xf>
    <xf numFmtId="17" fontId="30" fillId="0" borderId="1" xfId="0" applyNumberFormat="1" applyFont="1" applyBorder="1" applyAlignment="1">
      <alignment horizontal="center" vertical="center"/>
    </xf>
    <xf numFmtId="14" fontId="0" fillId="0" borderId="2" xfId="0" applyNumberFormat="1" applyBorder="1" applyAlignment="1">
      <alignment horizontal="center" vertical="center" wrapText="1"/>
    </xf>
    <xf numFmtId="9" fontId="0" fillId="0" borderId="0" xfId="3" applyFont="1" applyAlignment="1">
      <alignment horizontal="center"/>
    </xf>
    <xf numFmtId="0" fontId="27" fillId="0" borderId="11" xfId="0" applyFont="1" applyBorder="1"/>
    <xf numFmtId="0" fontId="39" fillId="0" borderId="12" xfId="0" applyFont="1" applyBorder="1"/>
    <xf numFmtId="0" fontId="30" fillId="0" borderId="12" xfId="0" applyFont="1" applyBorder="1"/>
    <xf numFmtId="3" fontId="30" fillId="0" borderId="13" xfId="0" applyNumberFormat="1" applyFont="1" applyBorder="1" applyAlignment="1">
      <alignment horizontal="center"/>
    </xf>
    <xf numFmtId="0" fontId="26" fillId="2" borderId="4" xfId="0" applyFont="1" applyFill="1" applyBorder="1" applyAlignment="1">
      <alignment horizontal="center" wrapText="1"/>
    </xf>
    <xf numFmtId="0" fontId="26" fillId="2" borderId="10" xfId="0" applyFont="1" applyFill="1" applyBorder="1" applyAlignment="1">
      <alignment horizontal="center" wrapText="1"/>
    </xf>
    <xf numFmtId="0" fontId="26" fillId="2" borderId="0" xfId="0" applyFont="1" applyFill="1"/>
    <xf numFmtId="0" fontId="26" fillId="0" borderId="1" xfId="0" applyFont="1" applyBorder="1" applyAlignment="1">
      <alignment horizontal="center" vertical="center"/>
    </xf>
    <xf numFmtId="0" fontId="53" fillId="0" borderId="0" xfId="0" applyFont="1" applyAlignment="1">
      <alignment horizontal="center" vertical="center"/>
    </xf>
    <xf numFmtId="0" fontId="26" fillId="0" borderId="10" xfId="0" applyFont="1" applyBorder="1" applyAlignment="1">
      <alignment horizontal="center" wrapText="1"/>
    </xf>
    <xf numFmtId="16" fontId="26" fillId="0" borderId="4" xfId="0" quotePrefix="1" applyNumberFormat="1" applyFont="1" applyBorder="1" applyAlignment="1">
      <alignment horizontal="center" wrapText="1"/>
    </xf>
    <xf numFmtId="0" fontId="26" fillId="0" borderId="4" xfId="0" quotePrefix="1" applyFont="1" applyBorder="1" applyAlignment="1">
      <alignment horizontal="center" wrapText="1"/>
    </xf>
    <xf numFmtId="0" fontId="26" fillId="0" borderId="1" xfId="0" applyFont="1" applyBorder="1" applyAlignment="1">
      <alignment horizontal="center" wrapText="1"/>
    </xf>
    <xf numFmtId="168" fontId="26" fillId="0" borderId="0" xfId="0" applyNumberFormat="1" applyFont="1" applyAlignment="1">
      <alignment horizontal="center" wrapText="1"/>
    </xf>
    <xf numFmtId="0" fontId="30" fillId="0" borderId="1" xfId="0" applyFont="1" applyBorder="1" applyAlignment="1">
      <alignment horizontal="center" vertical="center"/>
    </xf>
    <xf numFmtId="0" fontId="26" fillId="0" borderId="0" xfId="0" applyFont="1"/>
    <xf numFmtId="0" fontId="26" fillId="0" borderId="1" xfId="0" applyFont="1" applyBorder="1" applyAlignment="1">
      <alignment horizontal="right"/>
    </xf>
    <xf numFmtId="0" fontId="30" fillId="0" borderId="1" xfId="0" applyFont="1" applyBorder="1"/>
    <xf numFmtId="0" fontId="37" fillId="0" borderId="1" xfId="0" applyFont="1" applyBorder="1"/>
    <xf numFmtId="0" fontId="26" fillId="0" borderId="4" xfId="0" applyFont="1" applyBorder="1" applyAlignment="1">
      <alignment horizontal="center" wrapText="1"/>
    </xf>
    <xf numFmtId="3" fontId="26" fillId="0" borderId="0" xfId="0" applyNumberFormat="1" applyFont="1" applyAlignment="1">
      <alignment horizontal="center" wrapText="1"/>
    </xf>
    <xf numFmtId="0" fontId="26" fillId="0" borderId="0" xfId="0" applyFont="1" applyAlignment="1">
      <alignment horizontal="center" vertical="center"/>
    </xf>
    <xf numFmtId="0" fontId="30" fillId="0" borderId="4" xfId="0" applyFont="1" applyBorder="1"/>
    <xf numFmtId="0" fontId="26" fillId="0" borderId="0" xfId="0" applyFont="1" applyAlignment="1">
      <alignment horizontal="center"/>
    </xf>
    <xf numFmtId="0" fontId="26" fillId="0" borderId="4" xfId="0" applyFont="1" applyBorder="1" applyAlignment="1">
      <alignment horizontal="center"/>
    </xf>
    <xf numFmtId="168" fontId="26" fillId="0" borderId="0" xfId="0" applyNumberFormat="1" applyFont="1" applyAlignment="1">
      <alignment horizontal="center"/>
    </xf>
    <xf numFmtId="168" fontId="30" fillId="0" borderId="0" xfId="0" applyNumberFormat="1" applyFont="1" applyAlignment="1">
      <alignment horizontal="center"/>
    </xf>
    <xf numFmtId="168" fontId="37" fillId="0" borderId="0" xfId="0" applyNumberFormat="1" applyFont="1" applyAlignment="1">
      <alignment horizontal="center"/>
    </xf>
    <xf numFmtId="0" fontId="26" fillId="0" borderId="24" xfId="0" applyFont="1" applyBorder="1" applyAlignment="1">
      <alignment horizontal="center"/>
    </xf>
    <xf numFmtId="0" fontId="26" fillId="0" borderId="25" xfId="0" applyFont="1" applyBorder="1" applyAlignment="1">
      <alignment horizontal="center"/>
    </xf>
    <xf numFmtId="3" fontId="26" fillId="0" borderId="26" xfId="0" applyNumberFormat="1" applyFont="1" applyBorder="1" applyAlignment="1">
      <alignment horizontal="center" wrapText="1"/>
    </xf>
    <xf numFmtId="3" fontId="26" fillId="0" borderId="27" xfId="0" applyNumberFormat="1" applyFont="1" applyBorder="1" applyAlignment="1">
      <alignment horizontal="center" wrapText="1"/>
    </xf>
    <xf numFmtId="0" fontId="25" fillId="2" borderId="0" xfId="0" applyFont="1" applyFill="1"/>
    <xf numFmtId="0" fontId="25" fillId="2" borderId="10" xfId="0" applyFont="1" applyFill="1" applyBorder="1" applyAlignment="1">
      <alignment horizontal="center" wrapText="1"/>
    </xf>
    <xf numFmtId="0" fontId="25" fillId="2" borderId="1" xfId="0" applyFont="1" applyFill="1" applyBorder="1" applyAlignment="1">
      <alignment horizontal="center"/>
    </xf>
    <xf numFmtId="0" fontId="30" fillId="2" borderId="0" xfId="0" applyFont="1" applyFill="1" applyAlignment="1">
      <alignment horizontal="center" vertical="center"/>
    </xf>
    <xf numFmtId="0" fontId="25" fillId="0" borderId="1" xfId="0" applyFont="1" applyBorder="1"/>
    <xf numFmtId="0" fontId="25" fillId="0" borderId="0" xfId="0" applyFont="1" applyAlignment="1">
      <alignment horizontal="center" wrapText="1"/>
    </xf>
    <xf numFmtId="0" fontId="25" fillId="0" borderId="0" xfId="0" applyFont="1"/>
    <xf numFmtId="0" fontId="25" fillId="0" borderId="0" xfId="0" applyFont="1" applyAlignment="1">
      <alignment horizontal="center"/>
    </xf>
    <xf numFmtId="0" fontId="25" fillId="0" borderId="1" xfId="0" applyFont="1" applyBorder="1" applyAlignment="1">
      <alignment horizontal="center"/>
    </xf>
    <xf numFmtId="0" fontId="25" fillId="0" borderId="10" xfId="0" applyFont="1" applyBorder="1" applyAlignment="1">
      <alignment horizontal="center" wrapText="1"/>
    </xf>
    <xf numFmtId="0" fontId="25" fillId="0" borderId="4" xfId="0" applyFont="1" applyBorder="1" applyAlignment="1">
      <alignment horizontal="center" wrapText="1"/>
    </xf>
    <xf numFmtId="0" fontId="25" fillId="0" borderId="3" xfId="0" applyFont="1" applyBorder="1" applyAlignment="1">
      <alignment horizontal="center" vertical="center"/>
    </xf>
    <xf numFmtId="3" fontId="25" fillId="0" borderId="0" xfId="0" applyNumberFormat="1" applyFont="1" applyAlignment="1">
      <alignment horizontal="center" vertical="center"/>
    </xf>
    <xf numFmtId="0" fontId="25" fillId="0" borderId="1" xfId="0" applyFont="1" applyBorder="1" applyAlignment="1">
      <alignment horizontal="center" vertical="center"/>
    </xf>
    <xf numFmtId="166" fontId="25" fillId="0" borderId="0" xfId="3" applyNumberFormat="1" applyFont="1" applyFill="1" applyAlignment="1">
      <alignment horizontal="center" vertical="center"/>
    </xf>
    <xf numFmtId="0" fontId="25" fillId="0" borderId="11" xfId="0" applyFont="1" applyBorder="1"/>
    <xf numFmtId="166" fontId="25" fillId="0" borderId="0" xfId="0" applyNumberFormat="1" applyFont="1" applyAlignment="1">
      <alignment horizontal="center"/>
    </xf>
    <xf numFmtId="171" fontId="25" fillId="0" borderId="0" xfId="0" applyNumberFormat="1" applyFont="1" applyAlignment="1">
      <alignment horizontal="center" vertical="center"/>
    </xf>
    <xf numFmtId="169" fontId="25" fillId="0" borderId="0" xfId="0" applyNumberFormat="1" applyFont="1" applyAlignment="1">
      <alignment horizontal="center" vertical="center"/>
    </xf>
    <xf numFmtId="0" fontId="25" fillId="0" borderId="0" xfId="0" applyFont="1" applyAlignment="1">
      <alignment vertical="top" wrapText="1"/>
    </xf>
    <xf numFmtId="166" fontId="24" fillId="0" borderId="13" xfId="0" applyNumberFormat="1" applyFont="1" applyBorder="1" applyAlignment="1">
      <alignment horizontal="center"/>
    </xf>
    <xf numFmtId="166" fontId="25" fillId="0" borderId="0" xfId="0" quotePrefix="1" applyNumberFormat="1" applyFont="1" applyAlignment="1">
      <alignment horizontal="center" vertical="center"/>
    </xf>
    <xf numFmtId="166" fontId="30" fillId="0" borderId="0" xfId="0" applyNumberFormat="1" applyFont="1" applyAlignment="1">
      <alignment horizontal="center"/>
    </xf>
    <xf numFmtId="0" fontId="23" fillId="2" borderId="0" xfId="0" applyFont="1" applyFill="1"/>
    <xf numFmtId="172" fontId="30" fillId="2" borderId="0" xfId="0" applyNumberFormat="1" applyFont="1" applyFill="1" applyAlignment="1">
      <alignment horizontal="center"/>
    </xf>
    <xf numFmtId="0" fontId="0" fillId="2" borderId="1" xfId="0" applyFill="1" applyBorder="1" applyAlignment="1">
      <alignment horizontal="center"/>
    </xf>
    <xf numFmtId="0" fontId="0" fillId="2" borderId="10" xfId="0" applyFill="1" applyBorder="1" applyAlignment="1">
      <alignment horizontal="center" wrapText="1"/>
    </xf>
    <xf numFmtId="0" fontId="52" fillId="0" borderId="0" xfId="0" applyFont="1" applyAlignment="1">
      <alignment horizontal="center"/>
    </xf>
    <xf numFmtId="0" fontId="22" fillId="0" borderId="0" xfId="0" applyFont="1"/>
    <xf numFmtId="3" fontId="50" fillId="2" borderId="0" xfId="0" applyNumberFormat="1" applyFont="1" applyFill="1" applyAlignment="1">
      <alignment horizontal="center" vertical="center"/>
    </xf>
    <xf numFmtId="0" fontId="22" fillId="2" borderId="0" xfId="0" applyFont="1" applyFill="1"/>
    <xf numFmtId="0" fontId="22" fillId="0" borderId="0" xfId="0" applyFont="1" applyAlignment="1">
      <alignment horizontal="center"/>
    </xf>
    <xf numFmtId="0" fontId="50" fillId="0" borderId="3" xfId="0" applyFont="1" applyBorder="1" applyAlignment="1">
      <alignment horizontal="center" vertical="center"/>
    </xf>
    <xf numFmtId="3" fontId="50" fillId="0" borderId="0" xfId="0" applyNumberFormat="1" applyFont="1" applyAlignment="1">
      <alignment horizontal="center" vertical="center"/>
    </xf>
    <xf numFmtId="0" fontId="50" fillId="0" borderId="1" xfId="0" applyFont="1" applyBorder="1" applyAlignment="1">
      <alignment horizontal="center" vertical="center"/>
    </xf>
    <xf numFmtId="0" fontId="22" fillId="0" borderId="1" xfId="0" applyFont="1" applyBorder="1"/>
    <xf numFmtId="0" fontId="22" fillId="0" borderId="0" xfId="0" applyFont="1" applyAlignment="1">
      <alignment horizontal="center" wrapText="1"/>
    </xf>
    <xf numFmtId="0" fontId="22" fillId="0" borderId="1" xfId="0" applyFont="1" applyBorder="1" applyAlignment="1">
      <alignment horizontal="center"/>
    </xf>
    <xf numFmtId="0" fontId="22" fillId="0" borderId="10" xfId="0" applyFont="1" applyBorder="1" applyAlignment="1">
      <alignment horizontal="center" wrapText="1"/>
    </xf>
    <xf numFmtId="0" fontId="22" fillId="0" borderId="4" xfId="0" applyFont="1" applyBorder="1" applyAlignment="1">
      <alignment horizontal="center" wrapText="1"/>
    </xf>
    <xf numFmtId="3" fontId="50" fillId="0" borderId="1" xfId="0" applyNumberFormat="1" applyFont="1" applyBorder="1" applyAlignment="1">
      <alignment horizontal="center" vertical="center"/>
    </xf>
    <xf numFmtId="169" fontId="22" fillId="0" borderId="0" xfId="0" applyNumberFormat="1" applyFont="1" applyAlignment="1">
      <alignment horizontal="center" vertical="center"/>
    </xf>
    <xf numFmtId="0" fontId="22" fillId="0" borderId="0" xfId="0" applyFont="1" applyAlignment="1">
      <alignment horizontal="left" vertical="top" wrapText="1"/>
    </xf>
    <xf numFmtId="172" fontId="30" fillId="0" borderId="0" xfId="0" applyNumberFormat="1" applyFont="1" applyAlignment="1">
      <alignment horizontal="center"/>
    </xf>
    <xf numFmtId="0" fontId="22" fillId="0" borderId="0" xfId="0" applyFont="1" applyAlignment="1">
      <alignment horizontal="right"/>
    </xf>
    <xf numFmtId="3" fontId="25" fillId="0" borderId="26" xfId="0" applyNumberFormat="1" applyFont="1" applyBorder="1" applyAlignment="1">
      <alignment horizontal="center" vertical="center"/>
    </xf>
    <xf numFmtId="3" fontId="25" fillId="0" borderId="27" xfId="0" applyNumberFormat="1" applyFont="1" applyBorder="1" applyAlignment="1">
      <alignment horizontal="center" vertical="center"/>
    </xf>
    <xf numFmtId="0" fontId="22" fillId="0" borderId="0" xfId="0" applyFont="1" applyAlignment="1">
      <alignment horizontal="left" vertical="top"/>
    </xf>
    <xf numFmtId="170" fontId="22" fillId="0" borderId="0" xfId="0" applyNumberFormat="1" applyFont="1" applyAlignment="1">
      <alignment horizontal="left" vertical="top"/>
    </xf>
    <xf numFmtId="14" fontId="30" fillId="0" borderId="0" xfId="0" applyNumberFormat="1" applyFont="1" applyAlignment="1">
      <alignment horizontal="center" vertical="top" wrapText="1"/>
    </xf>
    <xf numFmtId="168" fontId="30" fillId="0" borderId="0" xfId="0" applyNumberFormat="1" applyFont="1" applyAlignment="1">
      <alignment horizontal="center" vertical="top" wrapText="1"/>
    </xf>
    <xf numFmtId="170" fontId="30" fillId="0" borderId="13" xfId="0" applyNumberFormat="1" applyFont="1" applyBorder="1" applyAlignment="1">
      <alignment horizontal="center" vertical="center" wrapText="1"/>
    </xf>
    <xf numFmtId="0" fontId="22" fillId="0" borderId="0" xfId="0" applyFont="1" applyAlignment="1">
      <alignment horizontal="left" vertical="center"/>
    </xf>
    <xf numFmtId="0" fontId="21" fillId="2" borderId="4" xfId="0" applyFont="1" applyFill="1" applyBorder="1" applyAlignment="1">
      <alignment horizontal="center" wrapText="1"/>
    </xf>
    <xf numFmtId="0" fontId="21" fillId="2" borderId="4" xfId="0" applyFont="1" applyFill="1" applyBorder="1" applyAlignment="1">
      <alignment horizontal="center"/>
    </xf>
    <xf numFmtId="0" fontId="21" fillId="2" borderId="1" xfId="0" applyFont="1" applyFill="1" applyBorder="1" applyAlignment="1">
      <alignment horizontal="center"/>
    </xf>
    <xf numFmtId="0" fontId="21" fillId="2" borderId="10" xfId="0" applyFont="1" applyFill="1" applyBorder="1" applyAlignment="1">
      <alignment horizontal="center"/>
    </xf>
    <xf numFmtId="0" fontId="30" fillId="2" borderId="10" xfId="0" applyFont="1" applyFill="1" applyBorder="1" applyAlignment="1">
      <alignment horizontal="center" vertical="center"/>
    </xf>
    <xf numFmtId="0" fontId="30" fillId="2" borderId="4" xfId="0" applyFont="1" applyFill="1" applyBorder="1"/>
    <xf numFmtId="173" fontId="30" fillId="2" borderId="4" xfId="0" applyNumberFormat="1" applyFont="1" applyFill="1" applyBorder="1" applyAlignment="1">
      <alignment horizontal="center"/>
    </xf>
    <xf numFmtId="172" fontId="30" fillId="2" borderId="3" xfId="0" applyNumberFormat="1" applyFont="1" applyFill="1" applyBorder="1" applyAlignment="1">
      <alignment horizontal="center" vertical="center"/>
    </xf>
    <xf numFmtId="172" fontId="30" fillId="2" borderId="16" xfId="0" applyNumberFormat="1" applyFont="1" applyFill="1" applyBorder="1" applyAlignment="1">
      <alignment horizontal="center" vertical="center"/>
    </xf>
    <xf numFmtId="172" fontId="30" fillId="2" borderId="4" xfId="0" applyNumberFormat="1" applyFont="1" applyFill="1" applyBorder="1" applyAlignment="1">
      <alignment horizontal="center" vertical="center"/>
    </xf>
    <xf numFmtId="172" fontId="30" fillId="2" borderId="1" xfId="0" applyNumberFormat="1" applyFont="1" applyFill="1" applyBorder="1" applyAlignment="1">
      <alignment horizontal="center" vertical="center"/>
    </xf>
    <xf numFmtId="172" fontId="30" fillId="2" borderId="10" xfId="0" applyNumberFormat="1" applyFont="1" applyFill="1" applyBorder="1" applyAlignment="1">
      <alignment horizontal="center" vertical="center"/>
    </xf>
    <xf numFmtId="0" fontId="21" fillId="2" borderId="3"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60" fillId="0" borderId="0" xfId="0" applyFont="1" applyAlignment="1">
      <alignment horizontal="left" wrapText="1"/>
    </xf>
    <xf numFmtId="0" fontId="0" fillId="2" borderId="0" xfId="0" applyFill="1" applyAlignment="1">
      <alignment horizontal="left" wrapText="1"/>
    </xf>
    <xf numFmtId="0" fontId="30" fillId="2" borderId="4" xfId="0" applyFont="1" applyFill="1" applyBorder="1" applyAlignment="1">
      <alignment horizontal="center"/>
    </xf>
    <xf numFmtId="0" fontId="30" fillId="2" borderId="21" xfId="0" applyFont="1" applyFill="1" applyBorder="1" applyAlignment="1">
      <alignment horizontal="center"/>
    </xf>
    <xf numFmtId="0" fontId="21" fillId="2" borderId="2" xfId="0" applyFont="1" applyFill="1" applyBorder="1" applyAlignment="1">
      <alignment horizontal="center"/>
    </xf>
    <xf numFmtId="0" fontId="30" fillId="2" borderId="2" xfId="0" applyFont="1" applyFill="1" applyBorder="1" applyAlignment="1">
      <alignment horizontal="center"/>
    </xf>
    <xf numFmtId="0" fontId="30" fillId="2" borderId="3" xfId="0" applyFont="1" applyFill="1" applyBorder="1" applyAlignment="1">
      <alignment horizontal="center"/>
    </xf>
    <xf numFmtId="0" fontId="30" fillId="2" borderId="3" xfId="0" applyFont="1" applyFill="1" applyBorder="1"/>
    <xf numFmtId="0" fontId="30" fillId="2" borderId="22" xfId="0" applyFont="1" applyFill="1" applyBorder="1" applyAlignment="1">
      <alignment horizontal="center"/>
    </xf>
    <xf numFmtId="0" fontId="21" fillId="2" borderId="0" xfId="0" applyFont="1" applyFill="1" applyAlignment="1">
      <alignment horizontal="center"/>
    </xf>
    <xf numFmtId="0" fontId="21" fillId="2" borderId="23" xfId="0" applyFont="1" applyFill="1" applyBorder="1" applyAlignment="1">
      <alignment horizontal="center" wrapText="1"/>
    </xf>
    <xf numFmtId="172" fontId="30" fillId="2" borderId="0" xfId="0" applyNumberFormat="1" applyFont="1" applyFill="1" applyAlignment="1">
      <alignment horizontal="center" vertical="center"/>
    </xf>
    <xf numFmtId="173" fontId="30" fillId="2" borderId="0" xfId="0" applyNumberFormat="1" applyFont="1" applyFill="1" applyAlignment="1">
      <alignment horizontal="center"/>
    </xf>
    <xf numFmtId="173" fontId="30" fillId="2" borderId="1" xfId="0" applyNumberFormat="1" applyFont="1" applyFill="1" applyBorder="1" applyAlignment="1">
      <alignment horizontal="center"/>
    </xf>
    <xf numFmtId="173" fontId="30" fillId="2" borderId="10" xfId="0" applyNumberFormat="1" applyFont="1" applyFill="1" applyBorder="1" applyAlignment="1">
      <alignment horizontal="center"/>
    </xf>
    <xf numFmtId="14" fontId="30" fillId="2" borderId="0" xfId="0" applyNumberFormat="1" applyFont="1" applyFill="1" applyAlignment="1">
      <alignment horizontal="center"/>
    </xf>
    <xf numFmtId="0" fontId="30" fillId="2" borderId="0" xfId="0" applyFont="1" applyFill="1" applyAlignment="1">
      <alignment horizontal="center"/>
    </xf>
    <xf numFmtId="165" fontId="30" fillId="2" borderId="4" xfId="0" applyNumberFormat="1" applyFont="1" applyFill="1" applyBorder="1" applyAlignment="1">
      <alignment horizontal="center" vertical="center"/>
    </xf>
    <xf numFmtId="3" fontId="30" fillId="2" borderId="4" xfId="0" applyNumberFormat="1" applyFont="1" applyFill="1" applyBorder="1" applyAlignment="1">
      <alignment horizontal="center" vertical="center"/>
    </xf>
    <xf numFmtId="0" fontId="20" fillId="0" borderId="0" xfId="0" applyFont="1"/>
    <xf numFmtId="0" fontId="20" fillId="0" borderId="11" xfId="0" applyFont="1" applyBorder="1"/>
    <xf numFmtId="0" fontId="20" fillId="2" borderId="0" xfId="0" applyFont="1" applyFill="1"/>
    <xf numFmtId="0" fontId="50" fillId="0" borderId="1" xfId="0" applyFont="1" applyBorder="1" applyAlignment="1">
      <alignment horizontal="center"/>
    </xf>
    <xf numFmtId="0" fontId="50" fillId="0" borderId="0" xfId="0" applyFont="1" applyAlignment="1">
      <alignment horizontal="center" wrapText="1"/>
    </xf>
    <xf numFmtId="0" fontId="50" fillId="0" borderId="0" xfId="0" applyFont="1" applyAlignment="1">
      <alignment horizontal="center"/>
    </xf>
    <xf numFmtId="0" fontId="50" fillId="0" borderId="10" xfId="0" applyFont="1" applyBorder="1" applyAlignment="1">
      <alignment horizontal="center" wrapText="1"/>
    </xf>
    <xf numFmtId="0" fontId="50" fillId="0" borderId="4" xfId="0" applyFont="1" applyBorder="1" applyAlignment="1">
      <alignment horizontal="center" wrapText="1"/>
    </xf>
    <xf numFmtId="0" fontId="50" fillId="0" borderId="0" xfId="0" applyFont="1" applyAlignment="1">
      <alignment horizontal="center" vertical="center"/>
    </xf>
    <xf numFmtId="0" fontId="20" fillId="0" borderId="0" xfId="0" applyFont="1" applyAlignment="1">
      <alignment horizontal="left"/>
    </xf>
    <xf numFmtId="173" fontId="30" fillId="0" borderId="13" xfId="0" applyNumberFormat="1" applyFont="1" applyBorder="1" applyAlignment="1">
      <alignment horizontal="center"/>
    </xf>
    <xf numFmtId="0" fontId="19" fillId="2" borderId="0" xfId="0" applyFont="1" applyFill="1"/>
    <xf numFmtId="0" fontId="19" fillId="2" borderId="4" xfId="0" applyFont="1" applyFill="1" applyBorder="1" applyAlignment="1">
      <alignment horizontal="center" wrapText="1"/>
    </xf>
    <xf numFmtId="0" fontId="19" fillId="2" borderId="23" xfId="0" applyFont="1" applyFill="1" applyBorder="1" applyAlignment="1">
      <alignment horizontal="center" wrapText="1"/>
    </xf>
    <xf numFmtId="3" fontId="30" fillId="2" borderId="22" xfId="0" applyNumberFormat="1" applyFont="1" applyFill="1" applyBorder="1" applyAlignment="1">
      <alignment horizontal="right" vertical="center"/>
    </xf>
    <xf numFmtId="2" fontId="19" fillId="2" borderId="9" xfId="0" applyNumberFormat="1" applyFont="1" applyFill="1" applyBorder="1" applyAlignment="1">
      <alignment horizontal="right"/>
    </xf>
    <xf numFmtId="0" fontId="19" fillId="0" borderId="1" xfId="0" applyFont="1" applyBorder="1" applyAlignment="1">
      <alignment horizontal="center"/>
    </xf>
    <xf numFmtId="0" fontId="19" fillId="0" borderId="22" xfId="0" applyFont="1" applyBorder="1" applyAlignment="1">
      <alignment horizontal="center"/>
    </xf>
    <xf numFmtId="0" fontId="19" fillId="0" borderId="0" xfId="0" applyFont="1" applyAlignment="1">
      <alignment horizontal="center"/>
    </xf>
    <xf numFmtId="0" fontId="30" fillId="0" borderId="10" xfId="0" applyFont="1" applyBorder="1" applyAlignment="1">
      <alignment horizontal="center" wrapText="1"/>
    </xf>
    <xf numFmtId="0" fontId="19" fillId="0" borderId="23" xfId="0" applyFont="1" applyBorder="1" applyAlignment="1">
      <alignment horizontal="center" wrapText="1"/>
    </xf>
    <xf numFmtId="0" fontId="19" fillId="0" borderId="4" xfId="0" applyFont="1" applyBorder="1" applyAlignment="1">
      <alignment horizontal="center" wrapText="1"/>
    </xf>
    <xf numFmtId="0" fontId="30" fillId="0" borderId="3" xfId="0" applyFont="1" applyBorder="1" applyAlignment="1">
      <alignment horizontal="center" vertical="center"/>
    </xf>
    <xf numFmtId="3" fontId="30" fillId="0" borderId="22" xfId="0" applyNumberFormat="1" applyFont="1" applyBorder="1" applyAlignment="1">
      <alignment horizontal="right" vertical="center"/>
    </xf>
    <xf numFmtId="3" fontId="30" fillId="0" borderId="0" xfId="0" applyNumberFormat="1" applyFont="1" applyAlignment="1">
      <alignment horizontal="center" vertical="center"/>
    </xf>
    <xf numFmtId="166" fontId="30" fillId="0" borderId="0" xfId="3" applyNumberFormat="1" applyFont="1" applyFill="1" applyAlignment="1">
      <alignment horizontal="center" vertical="center"/>
    </xf>
    <xf numFmtId="0" fontId="19" fillId="0" borderId="10" xfId="0" applyFont="1" applyBorder="1" applyAlignment="1">
      <alignment horizontal="center" wrapText="1"/>
    </xf>
    <xf numFmtId="3" fontId="30" fillId="0" borderId="1" xfId="0" applyNumberFormat="1" applyFont="1" applyBorder="1" applyAlignment="1">
      <alignment horizontal="center" vertical="center"/>
    </xf>
    <xf numFmtId="0" fontId="19" fillId="0" borderId="0" xfId="0" applyFont="1"/>
    <xf numFmtId="0" fontId="53" fillId="0" borderId="0" xfId="0" applyFont="1"/>
    <xf numFmtId="0" fontId="19" fillId="0" borderId="0" xfId="0" quotePrefix="1" applyFont="1"/>
    <xf numFmtId="0" fontId="19" fillId="0" borderId="11" xfId="0" applyFont="1" applyBorder="1"/>
    <xf numFmtId="0" fontId="30" fillId="0" borderId="0" xfId="0" applyFont="1" applyAlignment="1">
      <alignment horizontal="center" vertical="center"/>
    </xf>
    <xf numFmtId="3" fontId="30" fillId="0" borderId="0" xfId="0" applyNumberFormat="1" applyFont="1" applyAlignment="1">
      <alignment horizontal="right" vertical="center"/>
    </xf>
    <xf numFmtId="168" fontId="19" fillId="0" borderId="13" xfId="3" applyNumberFormat="1" applyFont="1" applyFill="1" applyBorder="1" applyAlignment="1">
      <alignment horizontal="center" vertical="center"/>
    </xf>
    <xf numFmtId="3" fontId="30" fillId="0" borderId="15" xfId="0" applyNumberFormat="1" applyFont="1" applyBorder="1" applyAlignment="1">
      <alignment horizontal="right" vertical="center"/>
    </xf>
    <xf numFmtId="0" fontId="19" fillId="0" borderId="4" xfId="0" applyFont="1" applyBorder="1"/>
    <xf numFmtId="0" fontId="19" fillId="0" borderId="24" xfId="0" applyFont="1" applyBorder="1" applyAlignment="1">
      <alignment horizontal="center"/>
    </xf>
    <xf numFmtId="0" fontId="19" fillId="0" borderId="26" xfId="0" applyFont="1" applyBorder="1" applyAlignment="1">
      <alignment horizontal="center"/>
    </xf>
    <xf numFmtId="0" fontId="19" fillId="0" borderId="25" xfId="0" applyFont="1" applyBorder="1" applyAlignment="1">
      <alignment horizontal="center"/>
    </xf>
    <xf numFmtId="3" fontId="30" fillId="0" borderId="26" xfId="0" applyNumberFormat="1" applyFont="1" applyBorder="1" applyAlignment="1">
      <alignment horizontal="right" vertical="center"/>
    </xf>
    <xf numFmtId="3" fontId="30" fillId="0" borderId="27" xfId="0" applyNumberFormat="1" applyFont="1" applyBorder="1" applyAlignment="1">
      <alignment horizontal="right" vertical="center"/>
    </xf>
    <xf numFmtId="0" fontId="18" fillId="2" borderId="0" xfId="0" applyFont="1" applyFill="1"/>
    <xf numFmtId="0" fontId="18" fillId="0" borderId="0" xfId="0" applyFont="1" applyAlignment="1">
      <alignment horizontal="left" vertical="top" wrapText="1"/>
    </xf>
    <xf numFmtId="0" fontId="17" fillId="0" borderId="0" xfId="0" applyFont="1"/>
    <xf numFmtId="0" fontId="16" fillId="0" borderId="4" xfId="4" applyFont="1" applyBorder="1" applyAlignment="1">
      <alignment horizontal="center" wrapText="1"/>
    </xf>
    <xf numFmtId="170" fontId="16" fillId="0" borderId="0" xfId="4" applyNumberFormat="1" applyFont="1" applyAlignment="1">
      <alignment horizontal="center" vertical="center" wrapText="1"/>
    </xf>
    <xf numFmtId="0" fontId="16" fillId="0" borderId="0" xfId="4" applyFont="1" applyAlignment="1">
      <alignment horizontal="center" vertical="center" wrapText="1"/>
    </xf>
    <xf numFmtId="170" fontId="16" fillId="0" borderId="4" xfId="4" applyNumberFormat="1" applyFont="1" applyBorder="1" applyAlignment="1">
      <alignment horizontal="center" vertical="center" wrapText="1"/>
    </xf>
    <xf numFmtId="6" fontId="16" fillId="0" borderId="4" xfId="4" applyNumberFormat="1" applyFont="1" applyBorder="1" applyAlignment="1">
      <alignment horizontal="center" vertical="center" wrapText="1"/>
    </xf>
    <xf numFmtId="6" fontId="16" fillId="0" borderId="0" xfId="4" applyNumberFormat="1" applyFont="1" applyAlignment="1">
      <alignment horizontal="center" vertical="center" wrapText="1"/>
    </xf>
    <xf numFmtId="0" fontId="16" fillId="0" borderId="10" xfId="0" applyFont="1" applyBorder="1" applyAlignment="1">
      <alignment horizontal="center" wrapText="1"/>
    </xf>
    <xf numFmtId="166" fontId="0" fillId="0" borderId="0" xfId="0" applyNumberFormat="1" applyAlignment="1">
      <alignment horizontal="center" vertical="center"/>
    </xf>
    <xf numFmtId="0" fontId="16" fillId="0" borderId="0" xfId="0" applyFont="1"/>
    <xf numFmtId="170" fontId="0" fillId="0" borderId="0" xfId="0" applyNumberFormat="1" applyAlignment="1">
      <alignment horizontal="center" vertical="center"/>
    </xf>
    <xf numFmtId="172" fontId="16" fillId="0" borderId="0" xfId="0" applyNumberFormat="1" applyFont="1" applyAlignment="1">
      <alignment horizontal="center"/>
    </xf>
    <xf numFmtId="2" fontId="50" fillId="0" borderId="0" xfId="0" applyNumberFormat="1" applyFont="1" applyAlignment="1">
      <alignment horizontal="center" vertical="center"/>
    </xf>
    <xf numFmtId="2" fontId="50" fillId="0" borderId="1" xfId="0" applyNumberFormat="1" applyFont="1" applyBorder="1" applyAlignment="1">
      <alignment horizontal="center" vertical="center"/>
    </xf>
    <xf numFmtId="0" fontId="16" fillId="0" borderId="11" xfId="0" applyFont="1" applyBorder="1"/>
    <xf numFmtId="0" fontId="16" fillId="0" borderId="33" xfId="0" applyFont="1" applyBorder="1" applyAlignment="1">
      <alignment horizontal="right"/>
    </xf>
    <xf numFmtId="6" fontId="16" fillId="0" borderId="26" xfId="4" applyNumberFormat="1" applyFont="1" applyBorder="1" applyAlignment="1">
      <alignment horizontal="center" vertical="center" wrapText="1"/>
    </xf>
    <xf numFmtId="6" fontId="16" fillId="0" borderId="25" xfId="4" applyNumberFormat="1" applyFont="1" applyBorder="1" applyAlignment="1">
      <alignment horizontal="center" vertical="center" wrapText="1"/>
    </xf>
    <xf numFmtId="6" fontId="16" fillId="0" borderId="27" xfId="4" applyNumberFormat="1" applyFont="1" applyBorder="1" applyAlignment="1">
      <alignment horizontal="center" vertical="center" wrapText="1"/>
    </xf>
    <xf numFmtId="166" fontId="30" fillId="2" borderId="0" xfId="3" applyNumberFormat="1" applyFont="1" applyFill="1" applyAlignment="1">
      <alignment horizontal="center" vertical="center"/>
    </xf>
    <xf numFmtId="0" fontId="62" fillId="0" borderId="0" xfId="0" applyFont="1" applyAlignment="1">
      <alignment horizontal="left" wrapText="1"/>
    </xf>
    <xf numFmtId="0" fontId="53" fillId="0" borderId="0" xfId="0" applyFont="1" applyAlignment="1">
      <alignment horizontal="center"/>
    </xf>
    <xf numFmtId="0" fontId="15" fillId="2" borderId="0" xfId="0" applyFont="1" applyFill="1"/>
    <xf numFmtId="0" fontId="15" fillId="2" borderId="0" xfId="0" applyFont="1" applyFill="1" applyAlignment="1">
      <alignment horizontal="center"/>
    </xf>
    <xf numFmtId="0" fontId="15" fillId="0" borderId="0" xfId="0" applyFont="1"/>
    <xf numFmtId="3" fontId="15" fillId="2" borderId="0" xfId="0" applyNumberFormat="1" applyFont="1" applyFill="1" applyAlignment="1">
      <alignment horizontal="center" vertical="center"/>
    </xf>
    <xf numFmtId="175" fontId="15" fillId="2" borderId="0" xfId="0" applyNumberFormat="1" applyFont="1" applyFill="1" applyAlignment="1">
      <alignment horizontal="left" vertical="center"/>
    </xf>
    <xf numFmtId="0" fontId="30" fillId="0" borderId="11" xfId="0" applyFont="1" applyBorder="1"/>
    <xf numFmtId="3" fontId="35" fillId="0" borderId="13" xfId="0" applyNumberFormat="1" applyFont="1" applyBorder="1" applyAlignment="1">
      <alignment horizontal="center"/>
    </xf>
    <xf numFmtId="166" fontId="30" fillId="0" borderId="13" xfId="3" applyNumberFormat="1" applyFont="1" applyBorder="1" applyAlignment="1">
      <alignment horizontal="center"/>
    </xf>
    <xf numFmtId="0" fontId="14" fillId="2" borderId="0" xfId="0" applyFont="1" applyFill="1"/>
    <xf numFmtId="0" fontId="14" fillId="2" borderId="4" xfId="0" applyFont="1" applyFill="1" applyBorder="1" applyAlignment="1">
      <alignment horizontal="center" wrapText="1"/>
    </xf>
    <xf numFmtId="0" fontId="14" fillId="2" borderId="10" xfId="0" applyFont="1" applyFill="1" applyBorder="1" applyAlignment="1">
      <alignment horizontal="center" wrapText="1"/>
    </xf>
    <xf numFmtId="0" fontId="14" fillId="2" borderId="1" xfId="0" applyFont="1" applyFill="1" applyBorder="1" applyAlignment="1">
      <alignment horizontal="center" vertical="center"/>
    </xf>
    <xf numFmtId="3" fontId="15" fillId="2" borderId="0" xfId="0" applyNumberFormat="1" applyFont="1" applyFill="1" applyAlignment="1">
      <alignment horizontal="center"/>
    </xf>
    <xf numFmtId="166" fontId="15" fillId="2" borderId="0" xfId="3" applyNumberFormat="1" applyFont="1" applyFill="1" applyAlignment="1">
      <alignment horizontal="center" vertical="center"/>
    </xf>
    <xf numFmtId="0" fontId="14" fillId="2" borderId="0" xfId="0" applyFont="1" applyFill="1" applyAlignment="1">
      <alignment horizontal="left" wrapText="1"/>
    </xf>
    <xf numFmtId="14" fontId="30" fillId="2" borderId="0" xfId="0" applyNumberFormat="1" applyFont="1" applyFill="1" applyAlignment="1">
      <alignment horizontal="center" vertical="center"/>
    </xf>
    <xf numFmtId="0" fontId="14" fillId="0" borderId="0" xfId="0" applyFont="1"/>
    <xf numFmtId="0" fontId="14" fillId="0" borderId="0" xfId="0" applyFont="1" applyAlignment="1">
      <alignment horizontal="center" wrapText="1"/>
    </xf>
    <xf numFmtId="0" fontId="14" fillId="0" borderId="1" xfId="0" applyFont="1" applyBorder="1" applyAlignment="1">
      <alignment horizont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172" fontId="0" fillId="0" borderId="19" xfId="0" applyNumberFormat="1" applyBorder="1" applyAlignment="1">
      <alignment horizontal="center" vertical="center"/>
    </xf>
    <xf numFmtId="172" fontId="0" fillId="4" borderId="0" xfId="0" applyNumberFormat="1" applyFill="1" applyAlignment="1">
      <alignment horizontal="center" vertical="center"/>
    </xf>
    <xf numFmtId="172" fontId="0" fillId="4" borderId="19" xfId="0" applyNumberFormat="1" applyFill="1" applyBorder="1" applyAlignment="1">
      <alignment horizontal="center" vertical="center"/>
    </xf>
    <xf numFmtId="0" fontId="14" fillId="2" borderId="8" xfId="0" applyFont="1" applyFill="1" applyBorder="1"/>
    <xf numFmtId="10" fontId="30" fillId="0" borderId="0" xfId="3" applyNumberFormat="1" applyFont="1" applyFill="1" applyBorder="1" applyAlignment="1">
      <alignment horizontal="center"/>
    </xf>
    <xf numFmtId="170" fontId="14" fillId="0" borderId="26" xfId="0" applyNumberFormat="1" applyFont="1" applyBorder="1" applyAlignment="1">
      <alignment horizontal="center"/>
    </xf>
    <xf numFmtId="0" fontId="14" fillId="0" borderId="0" xfId="0" applyFont="1" applyAlignment="1">
      <alignment horizontal="center"/>
    </xf>
    <xf numFmtId="0" fontId="14" fillId="0" borderId="0" xfId="0" applyFont="1" applyAlignment="1">
      <alignment horizontal="right"/>
    </xf>
    <xf numFmtId="0" fontId="14" fillId="3" borderId="10" xfId="0" applyFont="1" applyFill="1" applyBorder="1" applyAlignment="1">
      <alignment horizontal="center" vertical="center"/>
    </xf>
    <xf numFmtId="10" fontId="14" fillId="0" borderId="16" xfId="3" applyNumberFormat="1" applyFont="1" applyBorder="1" applyAlignment="1">
      <alignment horizontal="center"/>
    </xf>
    <xf numFmtId="10" fontId="14" fillId="0" borderId="4" xfId="3" applyNumberFormat="1" applyFont="1" applyBorder="1" applyAlignment="1">
      <alignment horizontal="center"/>
    </xf>
    <xf numFmtId="10" fontId="14" fillId="0" borderId="29" xfId="3" applyNumberFormat="1" applyFont="1" applyBorder="1" applyAlignment="1">
      <alignment horizontal="center"/>
    </xf>
    <xf numFmtId="10" fontId="14" fillId="4" borderId="4" xfId="3" applyNumberFormat="1" applyFont="1" applyFill="1" applyBorder="1" applyAlignment="1">
      <alignment horizontal="center"/>
    </xf>
    <xf numFmtId="10" fontId="14" fillId="4" borderId="29" xfId="3" applyNumberFormat="1" applyFont="1" applyFill="1" applyBorder="1" applyAlignment="1">
      <alignment horizontal="center"/>
    </xf>
    <xf numFmtId="10" fontId="14" fillId="0" borderId="4" xfId="3" applyNumberFormat="1" applyFont="1" applyFill="1" applyBorder="1" applyAlignment="1">
      <alignment horizontal="center"/>
    </xf>
    <xf numFmtId="10" fontId="14" fillId="0" borderId="10" xfId="3" applyNumberFormat="1" applyFont="1" applyBorder="1" applyAlignment="1">
      <alignment horizontal="center"/>
    </xf>
    <xf numFmtId="170" fontId="14" fillId="0" borderId="4" xfId="0" applyNumberFormat="1" applyFont="1" applyBorder="1" applyAlignment="1">
      <alignment horizontal="center"/>
    </xf>
    <xf numFmtId="170" fontId="14" fillId="0" borderId="27" xfId="0" applyNumberFormat="1" applyFont="1" applyBorder="1" applyAlignment="1">
      <alignment horizontal="center"/>
    </xf>
    <xf numFmtId="169" fontId="14" fillId="0" borderId="15" xfId="0" applyNumberFormat="1" applyFont="1" applyBorder="1" applyAlignment="1">
      <alignment horizontal="center"/>
    </xf>
    <xf numFmtId="169" fontId="14" fillId="0" borderId="0" xfId="0" applyNumberFormat="1" applyFont="1" applyAlignment="1">
      <alignment horizontal="center"/>
    </xf>
    <xf numFmtId="169" fontId="14" fillId="0" borderId="28" xfId="0" applyNumberFormat="1" applyFont="1" applyBorder="1" applyAlignment="1">
      <alignment horizontal="center"/>
    </xf>
    <xf numFmtId="169" fontId="14" fillId="4" borderId="0" xfId="0" applyNumberFormat="1" applyFont="1" applyFill="1" applyAlignment="1">
      <alignment horizontal="center"/>
    </xf>
    <xf numFmtId="169" fontId="14" fillId="4" borderId="28" xfId="0" applyNumberFormat="1" applyFont="1" applyFill="1" applyBorder="1" applyAlignment="1">
      <alignment horizontal="center"/>
    </xf>
    <xf numFmtId="169" fontId="14" fillId="0" borderId="1" xfId="0" applyNumberFormat="1" applyFont="1" applyBorder="1" applyAlignment="1">
      <alignment horizontal="center"/>
    </xf>
    <xf numFmtId="0" fontId="14" fillId="0" borderId="1" xfId="0" applyFont="1" applyBorder="1"/>
    <xf numFmtId="0" fontId="14" fillId="0" borderId="10" xfId="0" applyFont="1" applyBorder="1" applyAlignment="1">
      <alignment horizontal="center" wrapText="1"/>
    </xf>
    <xf numFmtId="0" fontId="14" fillId="0" borderId="4" xfId="0" applyFont="1" applyBorder="1" applyAlignment="1">
      <alignment horizontal="center" wrapText="1"/>
    </xf>
    <xf numFmtId="0" fontId="14" fillId="0" borderId="3" xfId="0" applyFont="1" applyBorder="1" applyAlignment="1">
      <alignment horizontal="center" vertical="center"/>
    </xf>
    <xf numFmtId="3" fontId="14" fillId="0" borderId="0" xfId="0" applyNumberFormat="1" applyFont="1" applyAlignment="1">
      <alignment horizontal="center" vertical="center"/>
    </xf>
    <xf numFmtId="169" fontId="14" fillId="0" borderId="0" xfId="0" applyNumberFormat="1" applyFont="1" applyAlignment="1">
      <alignment horizontal="center" vertical="center"/>
    </xf>
    <xf numFmtId="3" fontId="14" fillId="0" borderId="26" xfId="0" applyNumberFormat="1" applyFont="1" applyBorder="1" applyAlignment="1">
      <alignment horizontal="center" vertical="center"/>
    </xf>
    <xf numFmtId="0" fontId="14" fillId="0" borderId="1" xfId="0" applyFont="1" applyBorder="1" applyAlignment="1">
      <alignment horizontal="center" vertical="center"/>
    </xf>
    <xf numFmtId="3" fontId="14" fillId="0" borderId="27" xfId="0" applyNumberFormat="1" applyFont="1" applyBorder="1" applyAlignment="1">
      <alignment horizontal="center" vertical="center"/>
    </xf>
    <xf numFmtId="166" fontId="14" fillId="0" borderId="13" xfId="0" applyNumberFormat="1" applyFont="1" applyBorder="1" applyAlignment="1">
      <alignment horizontal="center"/>
    </xf>
    <xf numFmtId="172" fontId="14" fillId="0" borderId="0" xfId="0" applyNumberFormat="1" applyFont="1" applyAlignment="1">
      <alignment horizontal="center"/>
    </xf>
    <xf numFmtId="168" fontId="14" fillId="0" borderId="0" xfId="0" applyNumberFormat="1" applyFont="1" applyAlignment="1">
      <alignment horizontal="center"/>
    </xf>
    <xf numFmtId="0" fontId="52" fillId="0" borderId="4" xfId="0" applyFont="1" applyBorder="1"/>
    <xf numFmtId="0" fontId="14" fillId="0" borderId="4" xfId="0" applyFont="1" applyBorder="1" applyAlignment="1">
      <alignment horizontal="right"/>
    </xf>
    <xf numFmtId="168" fontId="14" fillId="0" borderId="4" xfId="0" applyNumberFormat="1" applyFont="1" applyBorder="1" applyAlignment="1">
      <alignment horizontal="center"/>
    </xf>
    <xf numFmtId="4" fontId="14" fillId="0" borderId="1" xfId="0" applyNumberFormat="1" applyFont="1" applyBorder="1" applyAlignment="1">
      <alignment horizontal="center" vertical="center"/>
    </xf>
    <xf numFmtId="0" fontId="62" fillId="0" borderId="0" xfId="0" applyFont="1"/>
    <xf numFmtId="169" fontId="16" fillId="0" borderId="0" xfId="4" applyNumberFormat="1" applyFont="1" applyAlignment="1">
      <alignment horizontal="center" vertical="center" wrapText="1"/>
    </xf>
    <xf numFmtId="169" fontId="16" fillId="0" borderId="4" xfId="4" applyNumberFormat="1" applyFont="1" applyBorder="1" applyAlignment="1">
      <alignment horizontal="center" vertical="center" wrapText="1"/>
    </xf>
    <xf numFmtId="0" fontId="14" fillId="0" borderId="34" xfId="4" applyFont="1" applyBorder="1" applyAlignment="1">
      <alignment horizontal="center" wrapText="1"/>
    </xf>
    <xf numFmtId="0" fontId="14" fillId="0" borderId="10" xfId="0" applyFont="1" applyBorder="1" applyAlignment="1">
      <alignment horizontal="center" vertical="center"/>
    </xf>
    <xf numFmtId="3" fontId="14" fillId="0" borderId="4" xfId="0" applyNumberFormat="1" applyFont="1" applyBorder="1" applyAlignment="1">
      <alignment horizontal="center" vertical="center"/>
    </xf>
    <xf numFmtId="4" fontId="14" fillId="0" borderId="10" xfId="0" applyNumberFormat="1" applyFont="1" applyBorder="1" applyAlignment="1">
      <alignment horizontal="center" vertical="center"/>
    </xf>
    <xf numFmtId="169" fontId="14" fillId="0" borderId="4" xfId="0" applyNumberFormat="1" applyFont="1" applyBorder="1" applyAlignment="1">
      <alignment horizontal="center" vertical="center"/>
    </xf>
    <xf numFmtId="169" fontId="14" fillId="0" borderId="35" xfId="0" applyNumberFormat="1" applyFont="1" applyBorder="1" applyAlignment="1">
      <alignment horizontal="center" vertical="center"/>
    </xf>
    <xf numFmtId="0" fontId="14" fillId="0" borderId="4" xfId="4" applyFont="1" applyBorder="1" applyAlignment="1">
      <alignment horizontal="center" wrapText="1"/>
    </xf>
    <xf numFmtId="0" fontId="14" fillId="0" borderId="11" xfId="0" applyFont="1" applyBorder="1" applyAlignment="1">
      <alignment horizontal="center"/>
    </xf>
    <xf numFmtId="166" fontId="16" fillId="0" borderId="0" xfId="3" applyNumberFormat="1" applyFont="1" applyBorder="1" applyAlignment="1">
      <alignment horizontal="center" vertical="center" wrapText="1"/>
    </xf>
    <xf numFmtId="166" fontId="16" fillId="0" borderId="4" xfId="3" applyNumberFormat="1" applyFont="1" applyBorder="1" applyAlignment="1">
      <alignment horizontal="center" vertical="center" wrapText="1"/>
    </xf>
    <xf numFmtId="0" fontId="62" fillId="0" borderId="0" xfId="0" applyFont="1" applyAlignment="1">
      <alignment wrapText="1"/>
    </xf>
    <xf numFmtId="0" fontId="14" fillId="0" borderId="11" xfId="0" applyFont="1" applyBorder="1" applyAlignment="1">
      <alignment horizontal="right"/>
    </xf>
    <xf numFmtId="177" fontId="30" fillId="0" borderId="0" xfId="0" applyNumberFormat="1" applyFont="1"/>
    <xf numFmtId="2" fontId="16" fillId="0" borderId="13" xfId="0" applyNumberFormat="1" applyFont="1" applyBorder="1" applyAlignment="1">
      <alignment horizontal="center"/>
    </xf>
    <xf numFmtId="0" fontId="13" fillId="0" borderId="0" xfId="0" applyFont="1"/>
    <xf numFmtId="0" fontId="13" fillId="0" borderId="0" xfId="0" applyFont="1" applyAlignment="1">
      <alignment horizontal="center"/>
    </xf>
    <xf numFmtId="0" fontId="13" fillId="0" borderId="0" xfId="0" applyFont="1" applyAlignment="1">
      <alignment horizontal="left" vertical="top"/>
    </xf>
    <xf numFmtId="0" fontId="12" fillId="0" borderId="0" xfId="0" applyFont="1"/>
    <xf numFmtId="0" fontId="35" fillId="2" borderId="10" xfId="0" applyFont="1" applyFill="1" applyBorder="1" applyAlignment="1">
      <alignment horizont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23" xfId="0" applyFont="1" applyFill="1" applyBorder="1" applyAlignment="1">
      <alignment horizontal="center" vertical="center"/>
    </xf>
    <xf numFmtId="0" fontId="14" fillId="2" borderId="21" xfId="0" applyFont="1" applyFill="1" applyBorder="1" applyAlignment="1">
      <alignment horizontal="center"/>
    </xf>
    <xf numFmtId="0" fontId="14" fillId="2" borderId="3" xfId="0" applyFont="1" applyFill="1" applyBorder="1" applyAlignment="1">
      <alignment horizontal="center"/>
    </xf>
    <xf numFmtId="0" fontId="14" fillId="2" borderId="23" xfId="0" applyFont="1" applyFill="1" applyBorder="1" applyAlignment="1">
      <alignment horizontal="center" wrapText="1"/>
    </xf>
    <xf numFmtId="14" fontId="30" fillId="2" borderId="21" xfId="0" applyNumberFormat="1" applyFont="1" applyFill="1" applyBorder="1" applyAlignment="1">
      <alignment horizontal="center" vertical="center"/>
    </xf>
    <xf numFmtId="166" fontId="30" fillId="2" borderId="1" xfId="3" applyNumberFormat="1" applyFont="1" applyFill="1" applyBorder="1" applyAlignment="1">
      <alignment horizontal="center" vertical="center"/>
    </xf>
    <xf numFmtId="14" fontId="30" fillId="2" borderId="22" xfId="0" applyNumberFormat="1" applyFont="1" applyFill="1" applyBorder="1" applyAlignment="1">
      <alignment horizontal="center" vertical="center"/>
    </xf>
    <xf numFmtId="14" fontId="14" fillId="2" borderId="22" xfId="0" applyNumberFormat="1" applyFont="1" applyFill="1" applyBorder="1" applyAlignment="1">
      <alignment horizontal="center" vertical="center"/>
    </xf>
    <xf numFmtId="14" fontId="30" fillId="2" borderId="23" xfId="0" applyNumberFormat="1" applyFont="1" applyFill="1" applyBorder="1" applyAlignment="1">
      <alignment horizontal="center" vertical="center"/>
    </xf>
    <xf numFmtId="166" fontId="30" fillId="2" borderId="10" xfId="3" applyNumberFormat="1" applyFont="1" applyFill="1" applyBorder="1" applyAlignment="1">
      <alignment horizontal="center"/>
    </xf>
    <xf numFmtId="0" fontId="30" fillId="2" borderId="2" xfId="0" applyFont="1" applyFill="1" applyBorder="1"/>
    <xf numFmtId="0" fontId="14" fillId="2" borderId="22" xfId="0" applyFont="1" applyFill="1" applyBorder="1" applyAlignment="1">
      <alignment horizontal="center" vertical="center"/>
    </xf>
    <xf numFmtId="0" fontId="14" fillId="2" borderId="0" xfId="0" applyFont="1" applyFill="1" applyAlignment="1">
      <alignment horizontal="center" vertical="center"/>
    </xf>
    <xf numFmtId="0" fontId="30" fillId="2" borderId="23" xfId="0" applyFont="1" applyFill="1" applyBorder="1" applyAlignment="1">
      <alignment horizontal="center" wrapText="1"/>
    </xf>
    <xf numFmtId="0" fontId="14" fillId="2" borderId="10" xfId="0" applyFont="1" applyFill="1" applyBorder="1" applyAlignment="1">
      <alignment horizontal="center" vertical="center"/>
    </xf>
    <xf numFmtId="0" fontId="26" fillId="2" borderId="36" xfId="0" applyFont="1" applyFill="1" applyBorder="1" applyAlignment="1">
      <alignment horizontal="center" wrapText="1"/>
    </xf>
    <xf numFmtId="16" fontId="14" fillId="2" borderId="31" xfId="0" quotePrefix="1" applyNumberFormat="1" applyFont="1" applyFill="1" applyBorder="1" applyAlignment="1">
      <alignment horizontal="center" wrapText="1"/>
    </xf>
    <xf numFmtId="0" fontId="14" fillId="2" borderId="31" xfId="0" quotePrefix="1" applyFont="1" applyFill="1" applyBorder="1" applyAlignment="1">
      <alignment horizontal="center" wrapText="1"/>
    </xf>
    <xf numFmtId="0" fontId="14" fillId="2" borderId="32" xfId="0" quotePrefix="1" applyFont="1" applyFill="1" applyBorder="1" applyAlignment="1">
      <alignment horizontal="center" wrapText="1"/>
    </xf>
    <xf numFmtId="0" fontId="15" fillId="2" borderId="23" xfId="0" applyFont="1" applyFill="1" applyBorder="1" applyAlignment="1">
      <alignment horizontal="right"/>
    </xf>
    <xf numFmtId="170" fontId="14" fillId="2" borderId="4" xfId="0" applyNumberFormat="1" applyFont="1" applyFill="1" applyBorder="1" applyAlignment="1">
      <alignment horizontal="center" wrapText="1"/>
    </xf>
    <xf numFmtId="170" fontId="14" fillId="2" borderId="10" xfId="0" applyNumberFormat="1" applyFont="1" applyFill="1" applyBorder="1" applyAlignment="1">
      <alignment horizontal="center" wrapText="1"/>
    </xf>
    <xf numFmtId="3" fontId="30" fillId="2" borderId="10" xfId="0" applyNumberFormat="1" applyFont="1" applyFill="1" applyBorder="1" applyAlignment="1">
      <alignment horizontal="center" vertical="center"/>
    </xf>
    <xf numFmtId="0" fontId="30" fillId="2" borderId="32" xfId="0" applyFont="1" applyFill="1" applyBorder="1" applyAlignment="1">
      <alignment horizontal="center" wrapText="1"/>
    </xf>
    <xf numFmtId="0" fontId="50" fillId="2" borderId="23" xfId="0" applyFont="1" applyFill="1" applyBorder="1" applyAlignment="1">
      <alignment horizontal="center" vertical="center"/>
    </xf>
    <xf numFmtId="0" fontId="50" fillId="2" borderId="22"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23" xfId="0" applyFont="1" applyFill="1" applyBorder="1" applyAlignment="1">
      <alignment horizontal="center" vertical="center"/>
    </xf>
    <xf numFmtId="0" fontId="53" fillId="2" borderId="2" xfId="0" applyFont="1" applyFill="1" applyBorder="1" applyAlignment="1">
      <alignment horizontal="center" vertical="center"/>
    </xf>
    <xf numFmtId="0" fontId="35" fillId="2" borderId="36" xfId="0" applyFont="1" applyFill="1" applyBorder="1" applyAlignment="1">
      <alignment horizontal="center" wrapText="1"/>
    </xf>
    <xf numFmtId="0" fontId="35" fillId="2" borderId="31" xfId="0" applyFont="1" applyFill="1" applyBorder="1" applyAlignment="1">
      <alignment horizontal="center" wrapText="1"/>
    </xf>
    <xf numFmtId="0" fontId="35" fillId="2" borderId="32" xfId="0" applyFont="1" applyFill="1" applyBorder="1" applyAlignment="1">
      <alignment horizontal="center" wrapText="1"/>
    </xf>
    <xf numFmtId="3" fontId="35" fillId="2" borderId="23" xfId="0" applyNumberFormat="1" applyFont="1" applyFill="1" applyBorder="1" applyAlignment="1">
      <alignment horizontal="center" vertical="center"/>
    </xf>
    <xf numFmtId="0" fontId="19" fillId="2" borderId="21" xfId="0" applyFont="1" applyFill="1" applyBorder="1" applyAlignment="1">
      <alignment horizontal="center"/>
    </xf>
    <xf numFmtId="0" fontId="19" fillId="2" borderId="10" xfId="0" applyFont="1" applyFill="1" applyBorder="1" applyAlignment="1">
      <alignment horizontal="center" wrapText="1"/>
    </xf>
    <xf numFmtId="3" fontId="30" fillId="2" borderId="1" xfId="0" applyNumberFormat="1" applyFont="1" applyFill="1" applyBorder="1" applyAlignment="1">
      <alignment horizontal="center" vertical="center"/>
    </xf>
    <xf numFmtId="3" fontId="30" fillId="2" borderId="23" xfId="0" applyNumberFormat="1" applyFont="1" applyFill="1" applyBorder="1" applyAlignment="1">
      <alignment horizontal="right" vertical="center"/>
    </xf>
    <xf numFmtId="0" fontId="0" fillId="2" borderId="21" xfId="0" applyFill="1" applyBorder="1"/>
    <xf numFmtId="0" fontId="0" fillId="2" borderId="3" xfId="0" applyFill="1" applyBorder="1"/>
    <xf numFmtId="0" fontId="0" fillId="2" borderId="22" xfId="0" applyFill="1" applyBorder="1" applyAlignment="1">
      <alignment horizontal="center"/>
    </xf>
    <xf numFmtId="0" fontId="0" fillId="2" borderId="23" xfId="0" applyFill="1" applyBorder="1" applyAlignment="1">
      <alignment horizontal="center" wrapText="1"/>
    </xf>
    <xf numFmtId="3" fontId="50" fillId="2" borderId="1" xfId="0" applyNumberFormat="1" applyFont="1" applyFill="1" applyBorder="1" applyAlignment="1">
      <alignment horizontal="center" vertical="center"/>
    </xf>
    <xf numFmtId="3" fontId="50" fillId="2" borderId="4" xfId="0" applyNumberFormat="1" applyFont="1" applyFill="1" applyBorder="1" applyAlignment="1">
      <alignment horizontal="center" vertical="center"/>
    </xf>
    <xf numFmtId="3" fontId="50" fillId="2" borderId="10" xfId="0" applyNumberFormat="1" applyFont="1" applyFill="1" applyBorder="1" applyAlignment="1">
      <alignment horizontal="center" vertical="center"/>
    </xf>
    <xf numFmtId="0" fontId="50" fillId="2" borderId="21" xfId="0" applyFont="1" applyFill="1" applyBorder="1" applyAlignment="1">
      <alignment horizontal="center" vertical="center"/>
    </xf>
    <xf numFmtId="0" fontId="30" fillId="2" borderId="21" xfId="0" applyFont="1" applyFill="1" applyBorder="1"/>
    <xf numFmtId="0" fontId="24" fillId="2" borderId="22" xfId="0" applyFont="1" applyFill="1" applyBorder="1" applyAlignment="1">
      <alignment horizontal="center"/>
    </xf>
    <xf numFmtId="0" fontId="25" fillId="2" borderId="23" xfId="0" applyFont="1" applyFill="1" applyBorder="1" applyAlignment="1">
      <alignment horizontal="center" wrapText="1"/>
    </xf>
    <xf numFmtId="0" fontId="25" fillId="2" borderId="21" xfId="0" applyFont="1" applyFill="1" applyBorder="1" applyAlignment="1">
      <alignment horizontal="center" vertical="center"/>
    </xf>
    <xf numFmtId="3" fontId="24" fillId="2" borderId="0" xfId="0" applyNumberFormat="1" applyFont="1" applyFill="1" applyAlignment="1">
      <alignment horizontal="center" vertical="center"/>
    </xf>
    <xf numFmtId="3" fontId="24" fillId="2" borderId="1" xfId="0" applyNumberFormat="1" applyFont="1" applyFill="1" applyBorder="1" applyAlignment="1">
      <alignment horizontal="center" vertical="center"/>
    </xf>
    <xf numFmtId="3" fontId="24" fillId="2" borderId="4" xfId="0" applyNumberFormat="1" applyFont="1" applyFill="1" applyBorder="1" applyAlignment="1">
      <alignment horizontal="center" vertical="center"/>
    </xf>
    <xf numFmtId="3" fontId="24" fillId="2" borderId="10" xfId="0" applyNumberFormat="1" applyFont="1" applyFill="1" applyBorder="1" applyAlignment="1">
      <alignment horizontal="center" vertical="center"/>
    </xf>
    <xf numFmtId="0" fontId="25" fillId="2" borderId="22" xfId="0" applyFont="1" applyFill="1" applyBorder="1" applyAlignment="1">
      <alignment horizontal="center"/>
    </xf>
    <xf numFmtId="0" fontId="26" fillId="2" borderId="21" xfId="0" applyFont="1" applyFill="1" applyBorder="1" applyAlignment="1">
      <alignment horizontal="center" vertical="center"/>
    </xf>
    <xf numFmtId="0" fontId="26" fillId="2" borderId="3" xfId="0" applyFont="1" applyFill="1" applyBorder="1" applyAlignment="1">
      <alignment horizontal="center"/>
    </xf>
    <xf numFmtId="0" fontId="26" fillId="2" borderId="23" xfId="0" applyFont="1" applyFill="1" applyBorder="1" applyAlignment="1">
      <alignment horizontal="center" wrapText="1"/>
    </xf>
    <xf numFmtId="0" fontId="26" fillId="2" borderId="22" xfId="0" applyFont="1" applyFill="1" applyBorder="1" applyAlignment="1">
      <alignment horizontal="center" wrapText="1"/>
    </xf>
    <xf numFmtId="3" fontId="26" fillId="2" borderId="0" xfId="0" applyNumberFormat="1" applyFont="1" applyFill="1" applyAlignment="1">
      <alignment horizontal="center" wrapText="1"/>
    </xf>
    <xf numFmtId="3" fontId="26" fillId="2" borderId="1" xfId="0" applyNumberFormat="1" applyFont="1" applyFill="1" applyBorder="1" applyAlignment="1">
      <alignment horizontal="center" wrapText="1"/>
    </xf>
    <xf numFmtId="3" fontId="26" fillId="2" borderId="4" xfId="0" applyNumberFormat="1" applyFont="1" applyFill="1" applyBorder="1" applyAlignment="1">
      <alignment horizontal="center" wrapText="1"/>
    </xf>
    <xf numFmtId="3" fontId="26" fillId="2" borderId="10" xfId="0" applyNumberFormat="1" applyFont="1" applyFill="1" applyBorder="1" applyAlignment="1">
      <alignment horizontal="center" wrapText="1"/>
    </xf>
    <xf numFmtId="0" fontId="34" fillId="2" borderId="36" xfId="0" applyFont="1" applyFill="1" applyBorder="1" applyAlignment="1">
      <alignment horizontal="center" wrapText="1"/>
    </xf>
    <xf numFmtId="0" fontId="34" fillId="2" borderId="21" xfId="0" applyFont="1" applyFill="1" applyBorder="1" applyAlignment="1">
      <alignment horizontal="center" vertical="center"/>
    </xf>
    <xf numFmtId="0" fontId="34" fillId="2" borderId="22" xfId="0" applyFont="1" applyFill="1" applyBorder="1" applyAlignment="1">
      <alignment horizontal="center" vertical="center"/>
    </xf>
    <xf numFmtId="0" fontId="34" fillId="2" borderId="23" xfId="0" applyFont="1" applyFill="1" applyBorder="1" applyAlignment="1">
      <alignment horizontal="center" vertical="center"/>
    </xf>
    <xf numFmtId="3" fontId="34" fillId="2" borderId="10" xfId="0" applyNumberFormat="1" applyFont="1" applyFill="1" applyBorder="1" applyAlignment="1">
      <alignment horizontal="center" vertical="center"/>
    </xf>
    <xf numFmtId="0" fontId="34" fillId="2" borderId="32" xfId="0" applyFont="1" applyFill="1" applyBorder="1" applyAlignment="1">
      <alignment horizontal="center" wrapText="1"/>
    </xf>
    <xf numFmtId="14" fontId="34" fillId="2" borderId="21" xfId="0" applyNumberFormat="1" applyFont="1" applyFill="1" applyBorder="1" applyAlignment="1">
      <alignment horizontal="center" vertical="center"/>
    </xf>
    <xf numFmtId="9" fontId="34" fillId="2" borderId="1" xfId="3" applyFont="1" applyFill="1" applyBorder="1" applyAlignment="1">
      <alignment horizontal="center" vertical="center"/>
    </xf>
    <xf numFmtId="14" fontId="34" fillId="2" borderId="22" xfId="0" applyNumberFormat="1" applyFont="1" applyFill="1" applyBorder="1" applyAlignment="1">
      <alignment horizontal="center" vertical="center"/>
    </xf>
    <xf numFmtId="14" fontId="34" fillId="2" borderId="23" xfId="0" applyNumberFormat="1" applyFont="1" applyFill="1" applyBorder="1" applyAlignment="1">
      <alignment horizontal="center" vertical="center"/>
    </xf>
    <xf numFmtId="9" fontId="34" fillId="2" borderId="10" xfId="3" applyFont="1" applyFill="1" applyBorder="1" applyAlignment="1">
      <alignment horizontal="center" vertical="center"/>
    </xf>
    <xf numFmtId="0" fontId="35" fillId="2" borderId="0" xfId="0" applyFont="1" applyFill="1" applyAlignment="1">
      <alignment horizontal="center"/>
    </xf>
    <xf numFmtId="0" fontId="35" fillId="2" borderId="1" xfId="0" applyFont="1" applyFill="1" applyBorder="1" applyAlignment="1">
      <alignment horizontal="center"/>
    </xf>
    <xf numFmtId="3" fontId="35" fillId="2" borderId="22" xfId="0" applyNumberFormat="1" applyFont="1" applyFill="1" applyBorder="1" applyAlignment="1">
      <alignment horizontal="center" vertical="center"/>
    </xf>
    <xf numFmtId="4" fontId="35" fillId="2" borderId="1" xfId="0" applyNumberFormat="1" applyFont="1" applyFill="1" applyBorder="1" applyAlignment="1">
      <alignment horizontal="center" vertical="center"/>
    </xf>
    <xf numFmtId="4" fontId="35" fillId="2" borderId="10" xfId="0" applyNumberFormat="1" applyFont="1" applyFill="1" applyBorder="1" applyAlignment="1">
      <alignment horizontal="center" vertical="center"/>
    </xf>
    <xf numFmtId="0" fontId="29" fillId="2" borderId="21" xfId="0" applyFont="1" applyFill="1" applyBorder="1" applyAlignment="1">
      <alignment horizontal="center" wrapText="1"/>
    </xf>
    <xf numFmtId="0" fontId="29" fillId="2" borderId="3" xfId="0" applyFont="1" applyFill="1" applyBorder="1" applyAlignment="1">
      <alignment horizontal="center" wrapText="1"/>
    </xf>
    <xf numFmtId="0" fontId="29" fillId="2" borderId="22" xfId="0" applyFont="1" applyFill="1" applyBorder="1" applyAlignment="1">
      <alignment horizontal="center" wrapText="1"/>
    </xf>
    <xf numFmtId="0" fontId="29" fillId="2" borderId="23" xfId="0" applyFont="1" applyFill="1" applyBorder="1" applyAlignment="1">
      <alignment horizontal="center" wrapText="1"/>
    </xf>
    <xf numFmtId="49" fontId="29" fillId="2" borderId="10" xfId="0" applyNumberFormat="1" applyFont="1" applyFill="1" applyBorder="1" applyAlignment="1">
      <alignment horizontal="center" wrapText="1"/>
    </xf>
    <xf numFmtId="0" fontId="29" fillId="2" borderId="21"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23" xfId="0" applyFont="1" applyFill="1" applyBorder="1" applyAlignment="1">
      <alignment horizontal="center" vertical="center"/>
    </xf>
    <xf numFmtId="0" fontId="29" fillId="2" borderId="36" xfId="0" applyFont="1" applyFill="1" applyBorder="1" applyAlignment="1">
      <alignment horizontal="center" wrapText="1"/>
    </xf>
    <xf numFmtId="0" fontId="29" fillId="2" borderId="32" xfId="0" applyFont="1" applyFill="1" applyBorder="1" applyAlignment="1">
      <alignment horizontal="center" wrapText="1"/>
    </xf>
    <xf numFmtId="9" fontId="30" fillId="2" borderId="1" xfId="3" applyFont="1" applyFill="1" applyBorder="1" applyAlignment="1">
      <alignment horizontal="center" vertical="center"/>
    </xf>
    <xf numFmtId="9" fontId="30" fillId="2" borderId="10" xfId="3" applyFont="1" applyFill="1" applyBorder="1" applyAlignment="1">
      <alignment horizontal="center" vertical="center"/>
    </xf>
    <xf numFmtId="0" fontId="27" fillId="2" borderId="3" xfId="0" applyFont="1" applyFill="1" applyBorder="1" applyAlignment="1">
      <alignment horizontal="center"/>
    </xf>
    <xf numFmtId="0" fontId="27" fillId="2" borderId="23" xfId="0" applyFont="1" applyFill="1" applyBorder="1" applyAlignment="1">
      <alignment horizontal="center" wrapText="1"/>
    </xf>
    <xf numFmtId="17" fontId="30" fillId="2" borderId="21" xfId="0" applyNumberFormat="1" applyFont="1" applyFill="1" applyBorder="1" applyAlignment="1">
      <alignment horizontal="center" vertical="center"/>
    </xf>
    <xf numFmtId="17" fontId="30" fillId="2" borderId="22" xfId="0" applyNumberFormat="1" applyFont="1" applyFill="1" applyBorder="1" applyAlignment="1">
      <alignment horizontal="center" vertical="center"/>
    </xf>
    <xf numFmtId="17" fontId="30" fillId="2" borderId="23" xfId="0" applyNumberFormat="1" applyFont="1" applyFill="1" applyBorder="1" applyAlignment="1">
      <alignment horizontal="center" vertical="center"/>
    </xf>
    <xf numFmtId="0" fontId="34" fillId="2" borderId="31" xfId="0" applyFont="1" applyFill="1" applyBorder="1" applyAlignment="1">
      <alignment horizontal="center" wrapText="1"/>
    </xf>
    <xf numFmtId="3" fontId="34" fillId="2" borderId="22" xfId="0" applyNumberFormat="1" applyFont="1" applyFill="1" applyBorder="1" applyAlignment="1">
      <alignment horizontal="center" vertical="center"/>
    </xf>
    <xf numFmtId="14" fontId="33" fillId="2" borderId="0" xfId="0" applyNumberFormat="1" applyFont="1" applyFill="1" applyAlignment="1">
      <alignment horizontal="center" vertical="center"/>
    </xf>
    <xf numFmtId="3" fontId="34" fillId="2" borderId="23" xfId="0" applyNumberFormat="1" applyFont="1" applyFill="1" applyBorder="1" applyAlignment="1">
      <alignment horizontal="center" vertical="center"/>
    </xf>
    <xf numFmtId="14" fontId="34" fillId="2" borderId="4" xfId="0" applyNumberFormat="1" applyFont="1" applyFill="1" applyBorder="1" applyAlignment="1">
      <alignment horizontal="center" vertical="center"/>
    </xf>
    <xf numFmtId="0" fontId="11" fillId="2" borderId="0" xfId="0" applyFont="1" applyFill="1"/>
    <xf numFmtId="0" fontId="10" fillId="2" borderId="0" xfId="0" applyFont="1" applyFill="1"/>
    <xf numFmtId="0" fontId="10" fillId="2" borderId="0" xfId="0" applyFont="1" applyFill="1" applyAlignment="1">
      <alignment horizontal="left"/>
    </xf>
    <xf numFmtId="178" fontId="0" fillId="0" borderId="0" xfId="0" applyNumberFormat="1" applyAlignment="1">
      <alignment horizontal="center"/>
    </xf>
    <xf numFmtId="178" fontId="0" fillId="0" borderId="1" xfId="0" applyNumberFormat="1" applyBorder="1" applyAlignment="1">
      <alignment horizontal="center"/>
    </xf>
    <xf numFmtId="178" fontId="0" fillId="0" borderId="4" xfId="0" applyNumberFormat="1" applyBorder="1" applyAlignment="1">
      <alignment horizontal="center"/>
    </xf>
    <xf numFmtId="178" fontId="0" fillId="0" borderId="10" xfId="0" applyNumberFormat="1" applyBorder="1" applyAlignment="1">
      <alignment horizontal="center"/>
    </xf>
    <xf numFmtId="178" fontId="0" fillId="0" borderId="3" xfId="0" applyNumberFormat="1" applyBorder="1" applyAlignment="1">
      <alignment horizontal="center"/>
    </xf>
    <xf numFmtId="178" fontId="0" fillId="0" borderId="17" xfId="0" applyNumberFormat="1" applyBorder="1" applyAlignment="1">
      <alignment horizontal="center"/>
    </xf>
    <xf numFmtId="178" fontId="0" fillId="0" borderId="18" xfId="0" applyNumberFormat="1" applyBorder="1" applyAlignment="1">
      <alignment horizontal="center"/>
    </xf>
    <xf numFmtId="178" fontId="0" fillId="0" borderId="19" xfId="0" applyNumberFormat="1" applyBorder="1" applyAlignment="1">
      <alignment horizontal="center"/>
    </xf>
    <xf numFmtId="178" fontId="0" fillId="0" borderId="20" xfId="0" applyNumberFormat="1" applyBorder="1" applyAlignment="1">
      <alignment horizontal="center"/>
    </xf>
    <xf numFmtId="178" fontId="0" fillId="0" borderId="21" xfId="0" applyNumberFormat="1" applyBorder="1" applyAlignment="1">
      <alignment horizontal="center" vertical="center"/>
    </xf>
    <xf numFmtId="178" fontId="0" fillId="0" borderId="2" xfId="0" applyNumberFormat="1" applyBorder="1" applyAlignment="1">
      <alignment horizontal="center"/>
    </xf>
    <xf numFmtId="178" fontId="0" fillId="0" borderId="22" xfId="0" applyNumberFormat="1" applyBorder="1" applyAlignment="1">
      <alignment horizontal="center"/>
    </xf>
    <xf numFmtId="178" fontId="0" fillId="0" borderId="23" xfId="0" applyNumberFormat="1" applyBorder="1" applyAlignment="1">
      <alignment horizontal="center"/>
    </xf>
    <xf numFmtId="0" fontId="10" fillId="0" borderId="0" xfId="0" applyFont="1"/>
    <xf numFmtId="0" fontId="9" fillId="0" borderId="4" xfId="0" applyFont="1" applyBorder="1"/>
    <xf numFmtId="0" fontId="9" fillId="0" borderId="0" xfId="0" applyFont="1"/>
    <xf numFmtId="0" fontId="9" fillId="0" borderId="0" xfId="0" applyFont="1" applyAlignment="1">
      <alignment vertical="top"/>
    </xf>
    <xf numFmtId="0" fontId="9" fillId="0" borderId="0" xfId="0" quotePrefix="1" applyFont="1" applyAlignment="1">
      <alignment horizontal="left" vertical="top" indent="2"/>
    </xf>
    <xf numFmtId="0" fontId="7" fillId="2" borderId="0" xfId="0" applyFont="1" applyFill="1"/>
    <xf numFmtId="0" fontId="6" fillId="0" borderId="0" xfId="0" applyFont="1"/>
    <xf numFmtId="0" fontId="22" fillId="0" borderId="11" xfId="0" applyFont="1" applyBorder="1"/>
    <xf numFmtId="0" fontId="22" fillId="0" borderId="12" xfId="0" applyFont="1" applyBorder="1"/>
    <xf numFmtId="168" fontId="22" fillId="0" borderId="13" xfId="0" applyNumberFormat="1" applyFont="1" applyBorder="1" applyAlignment="1">
      <alignment horizontal="center"/>
    </xf>
    <xf numFmtId="168" fontId="30" fillId="0" borderId="13" xfId="0" applyNumberFormat="1" applyFont="1" applyBorder="1" applyAlignment="1">
      <alignment horizontal="center"/>
    </xf>
    <xf numFmtId="0" fontId="22" fillId="0" borderId="13" xfId="0" applyFont="1" applyBorder="1" applyAlignment="1">
      <alignment horizontal="center"/>
    </xf>
    <xf numFmtId="0" fontId="6" fillId="0" borderId="12" xfId="0" applyFont="1" applyBorder="1" applyAlignment="1">
      <alignment horizontal="right"/>
    </xf>
    <xf numFmtId="173" fontId="6" fillId="0" borderId="13" xfId="0" applyNumberFormat="1" applyFont="1" applyBorder="1" applyAlignment="1">
      <alignment horizontal="center"/>
    </xf>
    <xf numFmtId="0" fontId="6" fillId="0" borderId="0" xfId="0" applyFont="1" applyAlignment="1">
      <alignment horizontal="left"/>
    </xf>
    <xf numFmtId="0" fontId="6" fillId="2" borderId="0" xfId="0" applyFont="1" applyFill="1"/>
    <xf numFmtId="0" fontId="6" fillId="0" borderId="4" xfId="4" applyFont="1" applyBorder="1" applyAlignment="1">
      <alignment horizontal="center" wrapText="1"/>
    </xf>
    <xf numFmtId="6" fontId="6" fillId="2" borderId="0" xfId="0" applyNumberFormat="1" applyFont="1" applyFill="1" applyAlignment="1">
      <alignment horizontal="center" vertical="center"/>
    </xf>
    <xf numFmtId="3" fontId="6" fillId="2" borderId="0" xfId="0" applyNumberFormat="1" applyFont="1" applyFill="1" applyAlignment="1">
      <alignment horizontal="center" vertical="center"/>
    </xf>
    <xf numFmtId="6" fontId="6" fillId="2" borderId="1" xfId="0" applyNumberFormat="1" applyFont="1" applyFill="1" applyBorder="1" applyAlignment="1">
      <alignment horizontal="center" vertical="center"/>
    </xf>
    <xf numFmtId="6" fontId="6" fillId="2" borderId="4" xfId="0" applyNumberFormat="1" applyFont="1" applyFill="1" applyBorder="1" applyAlignment="1">
      <alignment horizontal="center" vertical="center"/>
    </xf>
    <xf numFmtId="3" fontId="6" fillId="2" borderId="4" xfId="0" applyNumberFormat="1" applyFont="1" applyFill="1" applyBorder="1" applyAlignment="1">
      <alignment horizontal="center" vertical="center"/>
    </xf>
    <xf numFmtId="6" fontId="6" fillId="2" borderId="10" xfId="0" applyNumberFormat="1" applyFont="1" applyFill="1" applyBorder="1" applyAlignment="1">
      <alignment horizontal="center" vertical="center"/>
    </xf>
    <xf numFmtId="8" fontId="6" fillId="2" borderId="0" xfId="0" applyNumberFormat="1" applyFont="1" applyFill="1" applyAlignment="1">
      <alignment horizontal="center"/>
    </xf>
    <xf numFmtId="0" fontId="5" fillId="0" borderId="0" xfId="0" applyFont="1"/>
    <xf numFmtId="0" fontId="4" fillId="0" borderId="0" xfId="0" applyFont="1"/>
    <xf numFmtId="0" fontId="4" fillId="2" borderId="0" xfId="0" applyFont="1" applyFill="1" applyAlignment="1">
      <alignment horizontal="left"/>
    </xf>
    <xf numFmtId="0" fontId="4" fillId="2" borderId="8" xfId="0" applyFont="1" applyFill="1" applyBorder="1"/>
    <xf numFmtId="0" fontId="4" fillId="0" borderId="0" xfId="0" applyFont="1" applyAlignment="1">
      <alignment horizontal="right"/>
    </xf>
    <xf numFmtId="0" fontId="3" fillId="0" borderId="0" xfId="0" applyFont="1"/>
    <xf numFmtId="0" fontId="2" fillId="0" borderId="0" xfId="0" applyFont="1"/>
    <xf numFmtId="0" fontId="10" fillId="2" borderId="0" xfId="0" applyFont="1" applyFill="1" applyAlignment="1">
      <alignment horizontal="left" vertical="top" wrapText="1"/>
    </xf>
    <xf numFmtId="0" fontId="34" fillId="2" borderId="0" xfId="0" applyFont="1" applyFill="1" applyAlignment="1">
      <alignment horizontal="left" vertical="top" wrapText="1"/>
    </xf>
    <xf numFmtId="0" fontId="37" fillId="0" borderId="0" xfId="0" applyFont="1" applyAlignment="1">
      <alignment horizontal="left" wrapText="1"/>
    </xf>
    <xf numFmtId="2" fontId="53" fillId="0" borderId="0" xfId="0" applyNumberFormat="1" applyFont="1" applyAlignment="1">
      <alignment horizontal="center"/>
    </xf>
    <xf numFmtId="0" fontId="33" fillId="0" borderId="16" xfId="0" applyFont="1" applyBorder="1" applyAlignment="1">
      <alignment horizontal="center"/>
    </xf>
    <xf numFmtId="0" fontId="33" fillId="0" borderId="4" xfId="0" applyFont="1" applyBorder="1" applyAlignment="1">
      <alignment horizontal="center"/>
    </xf>
    <xf numFmtId="0" fontId="33" fillId="0" borderId="0" xfId="0" applyFont="1" applyAlignment="1">
      <alignment horizontal="center"/>
    </xf>
    <xf numFmtId="2" fontId="49" fillId="0" borderId="0" xfId="0" applyNumberFormat="1" applyFont="1" applyAlignment="1">
      <alignment horizontal="center"/>
    </xf>
    <xf numFmtId="0" fontId="9" fillId="0" borderId="0" xfId="0" applyFont="1" applyAlignment="1">
      <alignment horizontal="left" wrapText="1"/>
    </xf>
    <xf numFmtId="0" fontId="31" fillId="0" borderId="0" xfId="0" applyFont="1" applyAlignment="1">
      <alignment horizontal="left" wrapText="1"/>
    </xf>
    <xf numFmtId="0" fontId="9" fillId="0" borderId="0" xfId="0" applyFont="1" applyAlignment="1">
      <alignment horizontal="left" vertical="top" wrapText="1"/>
    </xf>
    <xf numFmtId="0" fontId="33" fillId="0" borderId="0" xfId="0" applyFont="1" applyAlignment="1">
      <alignment horizontal="left" vertical="top" wrapText="1"/>
    </xf>
    <xf numFmtId="0" fontId="9" fillId="0" borderId="0" xfId="0" quotePrefix="1" applyFont="1" applyAlignment="1">
      <alignment horizontal="left" vertical="top" wrapText="1" indent="2"/>
    </xf>
    <xf numFmtId="0" fontId="31" fillId="0" borderId="0" xfId="0" quotePrefix="1" applyFont="1" applyAlignment="1">
      <alignment horizontal="left" vertical="top" wrapText="1" indent="2"/>
    </xf>
    <xf numFmtId="0" fontId="31" fillId="0" borderId="0" xfId="0" applyFont="1" applyAlignment="1">
      <alignment horizontal="left" vertical="top" wrapText="1"/>
    </xf>
    <xf numFmtId="0" fontId="27" fillId="0" borderId="0" xfId="0" applyFont="1" applyAlignment="1">
      <alignment horizontal="left" vertical="top" wrapText="1"/>
    </xf>
    <xf numFmtId="0" fontId="30" fillId="0" borderId="0" xfId="0" applyFont="1" applyAlignment="1">
      <alignment horizontal="left" vertical="top" wrapText="1"/>
    </xf>
    <xf numFmtId="0" fontId="7" fillId="0" borderId="0" xfId="0" applyFont="1" applyAlignment="1">
      <alignment horizontal="left" wrapText="1"/>
    </xf>
    <xf numFmtId="0" fontId="27" fillId="0" borderId="0" xfId="0" applyFont="1" applyAlignment="1">
      <alignment horizontal="left" wrapText="1"/>
    </xf>
    <xf numFmtId="0" fontId="53" fillId="0" borderId="0" xfId="0" applyFont="1" applyAlignment="1">
      <alignment horizontal="center"/>
    </xf>
    <xf numFmtId="0" fontId="6" fillId="0" borderId="0" xfId="0" applyFont="1" applyAlignment="1">
      <alignment horizontal="left" vertical="top" wrapText="1"/>
    </xf>
    <xf numFmtId="0" fontId="28" fillId="0" borderId="0" xfId="0" applyFont="1" applyAlignment="1">
      <alignment horizontal="left" vertical="top" wrapText="1"/>
    </xf>
    <xf numFmtId="0" fontId="11" fillId="2" borderId="30" xfId="0" applyFont="1" applyFill="1" applyBorder="1" applyAlignment="1">
      <alignment horizontal="center" vertical="center"/>
    </xf>
    <xf numFmtId="0" fontId="11" fillId="2" borderId="32" xfId="0" applyFont="1" applyFill="1" applyBorder="1" applyAlignment="1">
      <alignment horizontal="center" vertical="center"/>
    </xf>
    <xf numFmtId="0" fontId="35" fillId="2" borderId="0" xfId="0" applyFont="1" applyFill="1" applyAlignment="1">
      <alignment horizontal="left" vertical="top" wrapText="1"/>
    </xf>
    <xf numFmtId="0" fontId="35" fillId="2" borderId="30" xfId="0" applyFont="1" applyFill="1" applyBorder="1" applyAlignment="1">
      <alignment horizontal="center"/>
    </xf>
    <xf numFmtId="0" fontId="35" fillId="2" borderId="32" xfId="0" applyFont="1" applyFill="1" applyBorder="1" applyAlignment="1">
      <alignment horizontal="center"/>
    </xf>
    <xf numFmtId="0" fontId="35" fillId="2" borderId="14"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15"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16" xfId="0" applyFont="1" applyFill="1" applyBorder="1" applyAlignment="1">
      <alignment horizontal="center" vertical="center"/>
    </xf>
    <xf numFmtId="0" fontId="35" fillId="2" borderId="10" xfId="0" applyFont="1" applyFill="1" applyBorder="1" applyAlignment="1">
      <alignment horizontal="center" vertical="center"/>
    </xf>
    <xf numFmtId="0" fontId="35" fillId="0" borderId="0" xfId="0" applyFont="1" applyAlignment="1">
      <alignment horizontal="left" vertical="top" wrapText="1"/>
    </xf>
    <xf numFmtId="0" fontId="6" fillId="0" borderId="0" xfId="0" applyFont="1" applyAlignment="1">
      <alignment horizontal="left" wrapText="1"/>
    </xf>
    <xf numFmtId="0" fontId="35" fillId="0" borderId="0" xfId="0" applyFont="1" applyAlignment="1">
      <alignment horizontal="left" wrapText="1"/>
    </xf>
    <xf numFmtId="0" fontId="37" fillId="0" borderId="0" xfId="0" applyFont="1" applyAlignment="1">
      <alignment horizontal="center" vertical="top" wrapText="1"/>
    </xf>
    <xf numFmtId="0" fontId="37" fillId="0" borderId="0" xfId="0" applyFont="1" applyAlignment="1">
      <alignment horizontal="center" vertical="top"/>
    </xf>
    <xf numFmtId="0" fontId="30" fillId="0" borderId="15" xfId="0" applyFont="1" applyBorder="1" applyAlignment="1">
      <alignment horizontal="center"/>
    </xf>
    <xf numFmtId="0" fontId="30" fillId="0" borderId="0" xfId="0" applyFont="1" applyAlignment="1">
      <alignment horizontal="center"/>
    </xf>
    <xf numFmtId="0" fontId="30" fillId="0" borderId="1" xfId="0" applyFont="1" applyBorder="1" applyAlignment="1">
      <alignment horizontal="center"/>
    </xf>
    <xf numFmtId="0" fontId="37" fillId="0" borderId="0" xfId="0" applyFont="1" applyAlignment="1">
      <alignment horizontal="left" vertical="top" wrapText="1"/>
    </xf>
    <xf numFmtId="0" fontId="26" fillId="0" borderId="0" xfId="0" applyFont="1" applyAlignment="1">
      <alignment horizontal="left" vertical="top" wrapText="1"/>
    </xf>
    <xf numFmtId="0" fontId="6"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6" fillId="2" borderId="0" xfId="0" applyFont="1" applyFill="1" applyAlignment="1">
      <alignment horizontal="left" wrapText="1"/>
    </xf>
    <xf numFmtId="0" fontId="25" fillId="2" borderId="0" xfId="0" applyFont="1" applyFill="1" applyAlignment="1">
      <alignment horizontal="left" wrapText="1"/>
    </xf>
    <xf numFmtId="0" fontId="25" fillId="0" borderId="0" xfId="0" applyFont="1" applyAlignment="1">
      <alignment horizontal="center" wrapText="1"/>
    </xf>
    <xf numFmtId="0" fontId="25" fillId="0" borderId="4" xfId="0" applyFont="1" applyBorder="1" applyAlignment="1">
      <alignment horizontal="center" wrapText="1"/>
    </xf>
    <xf numFmtId="0" fontId="25" fillId="0" borderId="24" xfId="0" applyFont="1" applyBorder="1" applyAlignment="1">
      <alignment horizontal="center" wrapText="1"/>
    </xf>
    <xf numFmtId="0" fontId="25" fillId="0" borderId="26" xfId="0" applyFont="1" applyBorder="1" applyAlignment="1">
      <alignment horizontal="center" wrapText="1"/>
    </xf>
    <xf numFmtId="0" fontId="25" fillId="0" borderId="25" xfId="0" applyFont="1" applyBorder="1" applyAlignment="1">
      <alignment horizontal="center" wrapText="1"/>
    </xf>
    <xf numFmtId="0" fontId="25" fillId="2" borderId="2" xfId="0" applyFont="1" applyFill="1" applyBorder="1" applyAlignment="1">
      <alignment horizontal="center" wrapText="1"/>
    </xf>
    <xf numFmtId="0" fontId="25" fillId="2" borderId="0" xfId="0" applyFont="1" applyFill="1" applyAlignment="1">
      <alignment horizontal="center" wrapText="1"/>
    </xf>
    <xf numFmtId="0" fontId="25" fillId="2" borderId="4" xfId="0" applyFont="1" applyFill="1" applyBorder="1" applyAlignment="1">
      <alignment horizontal="center" wrapText="1"/>
    </xf>
    <xf numFmtId="0" fontId="25" fillId="2" borderId="3" xfId="0" applyFont="1" applyFill="1" applyBorder="1" applyAlignment="1">
      <alignment horizontal="center" wrapText="1"/>
    </xf>
    <xf numFmtId="0" fontId="25" fillId="2" borderId="1" xfId="0" applyFont="1" applyFill="1" applyBorder="1" applyAlignment="1">
      <alignment horizontal="center" wrapText="1"/>
    </xf>
    <xf numFmtId="0" fontId="25" fillId="2" borderId="10" xfId="0" applyFont="1" applyFill="1" applyBorder="1" applyAlignment="1">
      <alignment horizontal="center" wrapText="1"/>
    </xf>
    <xf numFmtId="0" fontId="0" fillId="2" borderId="0" xfId="0" applyFill="1" applyAlignment="1">
      <alignment horizontal="left" wrapText="1"/>
    </xf>
    <xf numFmtId="0" fontId="25" fillId="0" borderId="0" xfId="0" applyFont="1" applyAlignment="1">
      <alignment horizontal="left" vertical="top" wrapText="1"/>
    </xf>
    <xf numFmtId="0" fontId="22" fillId="0" borderId="0" xfId="0" applyFont="1" applyAlignment="1">
      <alignment horizontal="left" vertical="top" wrapText="1"/>
    </xf>
    <xf numFmtId="0" fontId="8" fillId="0" borderId="0" xfId="0" applyFont="1" applyAlignment="1">
      <alignment horizontal="left" vertical="top"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0" fillId="2" borderId="2" xfId="0" applyFill="1" applyBorder="1" applyAlignment="1">
      <alignment horizontal="center" wrapText="1"/>
    </xf>
    <xf numFmtId="0" fontId="0" fillId="2" borderId="0" xfId="0" applyFill="1" applyAlignment="1">
      <alignment horizontal="center" wrapText="1"/>
    </xf>
    <xf numFmtId="0" fontId="0" fillId="2" borderId="4" xfId="0" applyFill="1" applyBorder="1" applyAlignment="1">
      <alignment horizontal="center" wrapText="1"/>
    </xf>
    <xf numFmtId="0" fontId="13" fillId="0" borderId="0" xfId="0" applyFont="1" applyAlignment="1">
      <alignment horizontal="left" vertical="top" wrapText="1"/>
    </xf>
    <xf numFmtId="0" fontId="0" fillId="2" borderId="3" xfId="0" applyFill="1" applyBorder="1" applyAlignment="1">
      <alignment horizontal="center" wrapText="1"/>
    </xf>
    <xf numFmtId="0" fontId="0" fillId="2" borderId="1" xfId="0" applyFill="1" applyBorder="1" applyAlignment="1">
      <alignment horizontal="center" wrapText="1"/>
    </xf>
    <xf numFmtId="0" fontId="0" fillId="2" borderId="10" xfId="0" applyFill="1" applyBorder="1" applyAlignment="1">
      <alignment horizontal="center" wrapText="1"/>
    </xf>
    <xf numFmtId="0" fontId="13" fillId="0" borderId="24" xfId="0" applyFont="1" applyBorder="1" applyAlignment="1">
      <alignment horizontal="center" wrapText="1"/>
    </xf>
    <xf numFmtId="0" fontId="20" fillId="0" borderId="0" xfId="0" applyFont="1" applyAlignment="1">
      <alignment horizontal="left" vertical="top" wrapText="1"/>
    </xf>
    <xf numFmtId="0" fontId="60"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23" xfId="0" applyFont="1" applyFill="1" applyBorder="1" applyAlignment="1">
      <alignment horizontal="center" vertical="center"/>
    </xf>
    <xf numFmtId="0" fontId="18" fillId="0" borderId="0" xfId="0" applyFont="1" applyAlignment="1">
      <alignment horizontal="left" vertical="top" wrapText="1"/>
    </xf>
    <xf numFmtId="0" fontId="6" fillId="2" borderId="30" xfId="0" applyFont="1" applyFill="1" applyBorder="1" applyAlignment="1">
      <alignment horizontal="center"/>
    </xf>
    <xf numFmtId="0" fontId="11" fillId="2" borderId="31" xfId="0" applyFont="1" applyFill="1" applyBorder="1" applyAlignment="1">
      <alignment horizontal="center"/>
    </xf>
    <xf numFmtId="0" fontId="11" fillId="2" borderId="32" xfId="0" applyFont="1" applyFill="1" applyBorder="1" applyAlignment="1">
      <alignment horizontal="center"/>
    </xf>
    <xf numFmtId="0" fontId="15" fillId="0" borderId="12" xfId="0" applyFont="1" applyBorder="1" applyAlignment="1">
      <alignment horizontal="center"/>
    </xf>
    <xf numFmtId="0" fontId="4" fillId="0" borderId="0" xfId="0" applyFont="1" applyAlignment="1">
      <alignment horizontal="left" vertical="top" wrapText="1"/>
    </xf>
    <xf numFmtId="0" fontId="14" fillId="0" borderId="0" xfId="0" applyFont="1" applyAlignment="1">
      <alignment horizontal="left" vertical="top" wrapText="1"/>
    </xf>
    <xf numFmtId="0" fontId="14" fillId="0" borderId="24" xfId="0" applyFont="1" applyBorder="1" applyAlignment="1">
      <alignment horizontal="center" wrapText="1"/>
    </xf>
    <xf numFmtId="0" fontId="14" fillId="0" borderId="26" xfId="0" applyFont="1" applyBorder="1" applyAlignment="1">
      <alignment horizontal="center" wrapText="1"/>
    </xf>
    <xf numFmtId="0" fontId="14" fillId="0" borderId="25" xfId="0" applyFont="1" applyBorder="1" applyAlignment="1">
      <alignment horizontal="center" wrapText="1"/>
    </xf>
    <xf numFmtId="0" fontId="4" fillId="0" borderId="0" xfId="0" applyFont="1" applyAlignment="1">
      <alignment horizontal="left" wrapText="1"/>
    </xf>
    <xf numFmtId="0" fontId="14" fillId="0" borderId="0" xfId="0" applyFont="1" applyAlignment="1">
      <alignment horizontal="left" wrapText="1"/>
    </xf>
    <xf numFmtId="0" fontId="14" fillId="0" borderId="11" xfId="0" applyFont="1" applyBorder="1" applyAlignment="1">
      <alignment horizontal="center"/>
    </xf>
    <xf numFmtId="0" fontId="14" fillId="0" borderId="12" xfId="0" applyFont="1" applyBorder="1" applyAlignment="1">
      <alignment horizontal="center"/>
    </xf>
    <xf numFmtId="0" fontId="14" fillId="2" borderId="0" xfId="0" applyFont="1" applyFill="1" applyAlignment="1">
      <alignment horizontal="left" wrapText="1"/>
    </xf>
    <xf numFmtId="0" fontId="4" fillId="2" borderId="0" xfId="0" applyFont="1" applyFill="1" applyAlignment="1">
      <alignment horizontal="left" wrapText="1"/>
    </xf>
  </cellXfs>
  <cellStyles count="5">
    <cellStyle name="Comma" xfId="1" builtinId="3"/>
    <cellStyle name="Currency" xfId="2" builtinId="4"/>
    <cellStyle name="Normal" xfId="0" builtinId="0"/>
    <cellStyle name="Normal 2" xfId="4" xr:uid="{088E1400-7767-9546-AF36-447469E1FFFA}"/>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1.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2</xdr:col>
      <xdr:colOff>359833</xdr:colOff>
      <xdr:row>83</xdr:row>
      <xdr:rowOff>158749</xdr:rowOff>
    </xdr:from>
    <xdr:ext cx="2930931" cy="26456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9CF11BFF-5908-BB4C-9378-02368E2F878E}"/>
                </a:ext>
              </a:extLst>
            </xdr:cNvPr>
            <xdr:cNvSpPr txBox="1"/>
          </xdr:nvSpPr>
          <xdr:spPr>
            <a:xfrm>
              <a:off x="2010833" y="17134416"/>
              <a:ext cx="2930931"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𝐸𝑎𝑟𝑛𝑒𝑑</m:t>
                    </m:r>
                  </m:oMath>
                </m:oMathPara>
              </a14:m>
              <a:endParaRPr lang="en-US" sz="1100">
                <a:solidFill>
                  <a:schemeClr val="tx1"/>
                </a:solidFill>
              </a:endParaRPr>
            </a:p>
          </xdr:txBody>
        </xdr:sp>
      </mc:Choice>
      <mc:Fallback xmlns="">
        <xdr:sp macro="" textlink="">
          <xdr:nvSpPr>
            <xdr:cNvPr id="5" name="TextBox 4">
              <a:extLst>
                <a:ext uri="{FF2B5EF4-FFF2-40B4-BE49-F238E27FC236}">
                  <a16:creationId xmlns:a16="http://schemas.microsoft.com/office/drawing/2014/main" id="{9CF11BFF-5908-BB4C-9378-02368E2F878E}"/>
                </a:ext>
              </a:extLst>
            </xdr:cNvPr>
            <xdr:cNvSpPr txBox="1"/>
          </xdr:nvSpPr>
          <xdr:spPr>
            <a:xfrm>
              <a:off x="2010833" y="17134416"/>
              <a:ext cx="2930931"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𝐸𝑎𝑟𝑛𝑒𝑑 𝐸𝑥𝑝𝑜𝑠𝑢𝑟𝑒𝑠=#𝐸𝑥𝑝𝑜𝑠𝑢𝑟𝑒𝑠</a:t>
              </a:r>
              <a:r>
                <a:rPr lang="en-US" sz="1100" b="0" i="0">
                  <a:solidFill>
                    <a:schemeClr val="tx1"/>
                  </a:solidFill>
                  <a:latin typeface="Cambria Math" panose="02040503050406030204" pitchFamily="18" charset="0"/>
                  <a:ea typeface="Cambria Math" panose="02040503050406030204" pitchFamily="18" charset="0"/>
                </a:rPr>
                <a:t>×%𝐸𝑎𝑟𝑛𝑒𝑑</a:t>
              </a:r>
              <a:endParaRPr lang="en-US" sz="1100">
                <a:solidFill>
                  <a:schemeClr val="tx1"/>
                </a:solidFill>
              </a:endParaRPr>
            </a:p>
          </xdr:txBody>
        </xdr:sp>
      </mc:Fallback>
    </mc:AlternateContent>
    <xdr:clientData/>
  </xdr:oneCellAnchor>
  <xdr:oneCellAnchor>
    <xdr:from>
      <xdr:col>2</xdr:col>
      <xdr:colOff>412750</xdr:colOff>
      <xdr:row>43</xdr:row>
      <xdr:rowOff>158749</xdr:rowOff>
    </xdr:from>
    <xdr:ext cx="3294427" cy="264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5D7E45A2-BFD7-BF47-8A13-F740DAD66F27}"/>
                </a:ext>
              </a:extLst>
            </xdr:cNvPr>
            <xdr:cNvSpPr txBox="1"/>
          </xdr:nvSpPr>
          <xdr:spPr>
            <a:xfrm>
              <a:off x="2063750" y="9080499"/>
              <a:ext cx="329442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𝑊𝑟𝑖𝑡𝑡𝑒𝑛</m:t>
                    </m:r>
                    <m:r>
                      <a:rPr lang="en-US" sz="1100" b="0" i="1">
                        <a:latin typeface="Cambria Math" panose="02040503050406030204" pitchFamily="18" charset="0"/>
                      </a:rPr>
                      <m:t> </m:t>
                    </m:r>
                    <m:r>
                      <a:rPr lang="en-US" sz="1100" b="0" i="1">
                        <a:latin typeface="Cambria Math" panose="02040503050406030204" pitchFamily="18" charset="0"/>
                      </a:rPr>
                      <m:t>𝐸𝑥𝑝𝑜𝑠𝑢𝑟𝑒𝑠</m:t>
                    </m:r>
                    <m:r>
                      <a:rPr lang="en-US" sz="1100" b="0" i="1">
                        <a:latin typeface="Cambria Math" panose="02040503050406030204" pitchFamily="18" charset="0"/>
                      </a:rPr>
                      <m:t>=#</m:t>
                    </m:r>
                    <m:r>
                      <a:rPr lang="en-US" sz="1100" b="0" i="1">
                        <a:latin typeface="Cambria Math" panose="02040503050406030204" pitchFamily="18" charset="0"/>
                      </a:rPr>
                      <m:t>𝐸𝑥𝑝𝑜𝑠𝑢𝑟𝑒𝑠</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𝑃𝑜𝑙𝑖𝑐𝑦</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𝐿𝑒𝑛𝑔𝑡h</m:t>
                    </m:r>
                  </m:oMath>
                </m:oMathPara>
              </a14:m>
              <a:endParaRPr lang="en-US" sz="1100"/>
            </a:p>
          </xdr:txBody>
        </xdr:sp>
      </mc:Choice>
      <mc:Fallback xmlns="">
        <xdr:sp macro="" textlink="">
          <xdr:nvSpPr>
            <xdr:cNvPr id="2" name="TextBox 1">
              <a:extLst>
                <a:ext uri="{FF2B5EF4-FFF2-40B4-BE49-F238E27FC236}">
                  <a16:creationId xmlns:a16="http://schemas.microsoft.com/office/drawing/2014/main" id="{5D7E45A2-BFD7-BF47-8A13-F740DAD66F27}"/>
                </a:ext>
              </a:extLst>
            </xdr:cNvPr>
            <xdr:cNvSpPr txBox="1"/>
          </xdr:nvSpPr>
          <xdr:spPr>
            <a:xfrm>
              <a:off x="2063750" y="9080499"/>
              <a:ext cx="329442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𝑊𝑟𝑖𝑡𝑡𝑒𝑛 𝐸𝑥𝑝𝑜𝑠𝑢𝑟𝑒𝑠=#𝐸𝑥𝑝𝑜𝑠𝑢𝑟𝑒𝑠</a:t>
              </a:r>
              <a:r>
                <a:rPr lang="en-US" sz="1100" b="0" i="0">
                  <a:latin typeface="Cambria Math" panose="02040503050406030204" pitchFamily="18" charset="0"/>
                  <a:ea typeface="Cambria Math" panose="02040503050406030204" pitchFamily="18" charset="0"/>
                </a:rPr>
                <a:t>×𝑃𝑜𝑙𝑖𝑐𝑦 𝐿𝑒𝑛𝑔𝑡ℎ</a:t>
              </a:r>
              <a:endParaRPr lang="en-US" sz="1100"/>
            </a:p>
          </xdr:txBody>
        </xdr:sp>
      </mc:Fallback>
    </mc:AlternateContent>
    <xdr:clientData/>
  </xdr:oneCellAnchor>
  <xdr:oneCellAnchor>
    <xdr:from>
      <xdr:col>1</xdr:col>
      <xdr:colOff>497416</xdr:colOff>
      <xdr:row>117</xdr:row>
      <xdr:rowOff>148167</xdr:rowOff>
    </xdr:from>
    <xdr:ext cx="4461991" cy="27565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47F3A143-170D-3E46-8A78-74317CFFB302}"/>
                </a:ext>
              </a:extLst>
            </xdr:cNvPr>
            <xdr:cNvSpPr txBox="1"/>
          </xdr:nvSpPr>
          <xdr:spPr>
            <a:xfrm>
              <a:off x="1322916" y="23960667"/>
              <a:ext cx="4461991" cy="2756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solidFill>
                              <a:schemeClr val="tx1"/>
                            </a:solidFill>
                            <a:latin typeface="Cambria Math" panose="02040503050406030204" pitchFamily="18" charset="0"/>
                          </a:rPr>
                        </m:ctrlPr>
                      </m:sSubPr>
                      <m:e>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𝑈𝑛𝑒𝑎𝑟𝑛𝑒𝑑</m:t>
                        </m:r>
                        <m:r>
                          <a:rPr lang="en-US" sz="1100" b="0" i="1">
                            <a:solidFill>
                              <a:schemeClr val="tx1"/>
                            </a:solidFill>
                            <a:latin typeface="Cambria Math" panose="02040503050406030204" pitchFamily="18" charset="0"/>
                          </a:rPr>
                          <m:t> </m:t>
                        </m:r>
                      </m:e>
                      <m:sub>
                        <m:r>
                          <a:rPr lang="en-US" sz="1100" b="0" i="1">
                            <a:solidFill>
                              <a:schemeClr val="tx1"/>
                            </a:solidFill>
                            <a:latin typeface="Cambria Math" panose="02040503050406030204" pitchFamily="18" charset="0"/>
                          </a:rPr>
                          <m:t>𝐸𝑛𝑑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𝐶𝑌</m:t>
                        </m:r>
                      </m:sub>
                    </m:sSub>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m:t>
                    </m:r>
                    <m:sSub>
                      <m:sSubPr>
                        <m:ctrlPr>
                          <a:rPr lang="en-US" sz="1100" b="0" i="1">
                            <a:solidFill>
                              <a:schemeClr val="tx1"/>
                            </a:solidFill>
                            <a:latin typeface="Cambria Math" panose="02040503050406030204" pitchFamily="18" charset="0"/>
                          </a:rPr>
                        </m:ctrlPr>
                      </m:sSubPr>
                      <m:e>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𝑈𝑛𝑒𝑎𝑟𝑛𝑒𝑑</m:t>
                        </m:r>
                      </m:e>
                      <m:sub>
                        <m:r>
                          <a:rPr lang="en-US" sz="1100" b="0" i="1">
                            <a:solidFill>
                              <a:schemeClr val="tx1"/>
                            </a:solidFill>
                            <a:latin typeface="Cambria Math" panose="02040503050406030204" pitchFamily="18" charset="0"/>
                          </a:rPr>
                          <m:t>𝐵𝑒𝑔</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𝐶𝑌</m:t>
                        </m:r>
                      </m:sub>
                    </m:sSub>
                  </m:oMath>
                </m:oMathPara>
              </a14:m>
              <a:endParaRPr lang="en-US" sz="1100">
                <a:solidFill>
                  <a:schemeClr val="tx1"/>
                </a:solidFill>
              </a:endParaRPr>
            </a:p>
          </xdr:txBody>
        </xdr:sp>
      </mc:Choice>
      <mc:Fallback xmlns="">
        <xdr:sp macro="" textlink="">
          <xdr:nvSpPr>
            <xdr:cNvPr id="3" name="TextBox 2">
              <a:extLst>
                <a:ext uri="{FF2B5EF4-FFF2-40B4-BE49-F238E27FC236}">
                  <a16:creationId xmlns:a16="http://schemas.microsoft.com/office/drawing/2014/main" id="{47F3A143-170D-3E46-8A78-74317CFFB302}"/>
                </a:ext>
              </a:extLst>
            </xdr:cNvPr>
            <xdr:cNvSpPr txBox="1"/>
          </xdr:nvSpPr>
          <xdr:spPr>
            <a:xfrm>
              <a:off x="1322916" y="23960667"/>
              <a:ext cx="4461991" cy="2756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〖𝐶𝑌 𝑈𝑛𝑒𝑎𝑟𝑛𝑒𝑑 〗_(𝐸𝑛𝑑 𝐶𝑌)=𝐶𝑌 𝑊𝑟𝑖𝑡𝑡𝑒𝑛−𝐶𝑌 𝐸𝑎𝑟𝑛𝑒𝑑+〖𝐶𝑌 𝑈𝑛𝑒𝑎𝑟𝑛𝑒𝑑〗_(𝐵𝑒𝑔.  𝐶𝑌)</a:t>
              </a:r>
              <a:endParaRPr lang="en-US" sz="1100">
                <a:solidFill>
                  <a:schemeClr val="tx1"/>
                </a:solidFill>
              </a:endParaRPr>
            </a:p>
          </xdr:txBody>
        </xdr:sp>
      </mc:Fallback>
    </mc:AlternateContent>
    <xdr:clientData/>
  </xdr:oneCellAnchor>
  <xdr:oneCellAnchor>
    <xdr:from>
      <xdr:col>1</xdr:col>
      <xdr:colOff>783167</xdr:colOff>
      <xdr:row>130</xdr:row>
      <xdr:rowOff>148168</xdr:rowOff>
    </xdr:from>
    <xdr:ext cx="4148667" cy="26456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E8FD9B31-AD8F-4745-8B9D-E3C01E0A4DE1}"/>
                </a:ext>
              </a:extLst>
            </xdr:cNvPr>
            <xdr:cNvSpPr txBox="1"/>
          </xdr:nvSpPr>
          <xdr:spPr>
            <a:xfrm>
              <a:off x="1608667" y="28384501"/>
              <a:ext cx="414866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𝑈𝑛𝑒𝑎𝑟𝑛𝑒𝑑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oMath>
                </m:oMathPara>
              </a14:m>
              <a:endParaRPr lang="en-US" sz="1100">
                <a:solidFill>
                  <a:schemeClr val="tx1"/>
                </a:solidFill>
              </a:endParaRPr>
            </a:p>
          </xdr:txBody>
        </xdr:sp>
      </mc:Choice>
      <mc:Fallback xmlns="">
        <xdr:sp macro="" textlink="">
          <xdr:nvSpPr>
            <xdr:cNvPr id="4" name="TextBox 3">
              <a:extLst>
                <a:ext uri="{FF2B5EF4-FFF2-40B4-BE49-F238E27FC236}">
                  <a16:creationId xmlns:a16="http://schemas.microsoft.com/office/drawing/2014/main" id="{E8FD9B31-AD8F-4745-8B9D-E3C01E0A4DE1}"/>
                </a:ext>
              </a:extLst>
            </xdr:cNvPr>
            <xdr:cNvSpPr txBox="1"/>
          </xdr:nvSpPr>
          <xdr:spPr>
            <a:xfrm>
              <a:off x="1608667" y="28384501"/>
              <a:ext cx="414866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r>
                <a:rPr lang="en-US" sz="1100" b="0" i="0">
                  <a:solidFill>
                    <a:schemeClr val="tx1"/>
                  </a:solidFill>
                  <a:latin typeface="Cambria Math" panose="02040503050406030204" pitchFamily="18" charset="0"/>
                </a:rPr>
                <a:t>𝑊𝑟𝑖𝑡𝑡𝑒𝑛 𝐸𝑥𝑝𝑜𝑠𝑢𝑟𝑒𝑠=𝐸𝑎𝑟𝑛𝑒𝑑 𝐸𝑥𝑝𝑜𝑠𝑢𝑟𝑒𝑠+𝑈𝑛𝑒𝑎𝑟𝑛𝑒𝑑 𝐸𝑥𝑝𝑜𝑠𝑢𝑟𝑒𝑠</a:t>
              </a:r>
              <a:endParaRPr lang="en-US" sz="1100">
                <a:solidFill>
                  <a:schemeClr val="tx1"/>
                </a:solidFill>
              </a:endParaRPr>
            </a:p>
          </xdr:txBody>
        </xdr:sp>
      </mc:Fallback>
    </mc:AlternateContent>
    <xdr:clientData/>
  </xdr:oneCellAnchor>
  <xdr:oneCellAnchor>
    <xdr:from>
      <xdr:col>2</xdr:col>
      <xdr:colOff>391584</xdr:colOff>
      <xdr:row>98</xdr:row>
      <xdr:rowOff>137583</xdr:rowOff>
    </xdr:from>
    <xdr:ext cx="3888179" cy="26456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5EE9975E-4341-A240-A57B-0B5BCBA7E1CF}"/>
                </a:ext>
              </a:extLst>
            </xdr:cNvPr>
            <xdr:cNvSpPr txBox="1"/>
          </xdr:nvSpPr>
          <xdr:spPr>
            <a:xfrm>
              <a:off x="2042584" y="20129500"/>
              <a:ext cx="3888179"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𝐸𝑎𝑟𝑛𝑒𝑑</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𝑏𝑦</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𝑎𝑠</m:t>
                    </m:r>
                    <m:r>
                      <m:rPr>
                        <m:nor/>
                      </m:rPr>
                      <a:rPr lang="en-US" sz="1100" b="0" i="0">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𝑜𝑓</m:t>
                    </m:r>
                    <m:r>
                      <m:rPr>
                        <m:nor/>
                      </m:rPr>
                      <a:rPr lang="en-US" sz="1100" b="0" i="0">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𝑑𝑎𝑡𝑒</m:t>
                    </m:r>
                  </m:oMath>
                </m:oMathPara>
              </a14:m>
              <a:endParaRPr lang="en-US" sz="1100">
                <a:solidFill>
                  <a:schemeClr val="tx1"/>
                </a:solidFill>
              </a:endParaRPr>
            </a:p>
          </xdr:txBody>
        </xdr:sp>
      </mc:Choice>
      <mc:Fallback xmlns="">
        <xdr:sp macro="" textlink="">
          <xdr:nvSpPr>
            <xdr:cNvPr id="6" name="TextBox 5">
              <a:extLst>
                <a:ext uri="{FF2B5EF4-FFF2-40B4-BE49-F238E27FC236}">
                  <a16:creationId xmlns:a16="http://schemas.microsoft.com/office/drawing/2014/main" id="{5EE9975E-4341-A240-A57B-0B5BCBA7E1CF}"/>
                </a:ext>
              </a:extLst>
            </xdr:cNvPr>
            <xdr:cNvSpPr txBox="1"/>
          </xdr:nvSpPr>
          <xdr:spPr>
            <a:xfrm>
              <a:off x="2042584" y="20129500"/>
              <a:ext cx="3888179"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𝐸𝑎𝑟𝑛𝑒𝑑 𝐸𝑥𝑝𝑜𝑠𝑢𝑟𝑒𝑠=#𝐸𝑥𝑝𝑜𝑠𝑢𝑟𝑒𝑠</a:t>
              </a:r>
              <a:r>
                <a:rPr lang="en-US" sz="1100" b="0" i="0">
                  <a:solidFill>
                    <a:schemeClr val="tx1"/>
                  </a:solidFill>
                  <a:latin typeface="Cambria Math" panose="02040503050406030204" pitchFamily="18" charset="0"/>
                  <a:ea typeface="Cambria Math" panose="02040503050406030204" pitchFamily="18" charset="0"/>
                </a:rPr>
                <a:t>×%𝐸𝑎𝑟𝑛𝑒𝑑 𝑏𝑦 𝑎𝑠"-" 𝑜𝑓"-" 𝑑𝑎𝑡𝑒</a:t>
              </a:r>
              <a:endParaRPr lang="en-US" sz="1100">
                <a:solidFill>
                  <a:schemeClr val="tx1"/>
                </a:solidFill>
              </a:endParaRPr>
            </a:p>
          </xdr:txBody>
        </xdr:sp>
      </mc:Fallback>
    </mc:AlternateContent>
    <xdr:clientData/>
  </xdr:oneCellAnchor>
</xdr:wsDr>
</file>

<file path=xl/drawings/drawing10.xml><?xml version="1.0" encoding="utf-8"?>
<xdr:wsDr xmlns:xdr="http://schemas.openxmlformats.org/drawingml/2006/spreadsheetDrawing" xmlns:a="http://schemas.openxmlformats.org/drawingml/2006/main">
  <xdr:oneCellAnchor>
    <xdr:from>
      <xdr:col>1</xdr:col>
      <xdr:colOff>158750</xdr:colOff>
      <xdr:row>40</xdr:row>
      <xdr:rowOff>158750</xdr:rowOff>
    </xdr:from>
    <xdr:ext cx="4265848" cy="264431"/>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F810CC5E-FCE1-054F-95AA-796EA49BB6C4}"/>
                </a:ext>
              </a:extLst>
            </xdr:cNvPr>
            <xdr:cNvSpPr txBox="1"/>
          </xdr:nvSpPr>
          <xdr:spPr>
            <a:xfrm>
              <a:off x="984250" y="7493000"/>
              <a:ext cx="4265848"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𝑁𝑜𝑛</m:t>
                    </m:r>
                    <m:r>
                      <m:rPr>
                        <m:nor/>
                      </m:rPr>
                      <a:rPr lang="en-US" sz="1100" b="0" i="0">
                        <a:latin typeface="Cambria Math" panose="02040503050406030204" pitchFamily="18" charset="0"/>
                      </a:rPr>
                      <m:t>−</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𝐿𝑜𝑠𝑠𝑒𝑠</m:t>
                    </m:r>
                    <m:r>
                      <a:rPr lang="en-US" sz="1100" b="0" i="1">
                        <a:latin typeface="Cambria Math" panose="02040503050406030204" pitchFamily="18" charset="0"/>
                      </a:rPr>
                      <m:t>=</m:t>
                    </m:r>
                    <m:r>
                      <a:rPr lang="en-US" sz="1100" b="0" i="1">
                        <a:latin typeface="Cambria Math" panose="02040503050406030204" pitchFamily="18" charset="0"/>
                      </a:rPr>
                      <m:t>𝑅𝑒𝑝𝑜𝑟𝑡𝑒𝑑</m:t>
                    </m:r>
                    <m:r>
                      <a:rPr lang="en-US" sz="1100" b="0" i="1">
                        <a:latin typeface="Cambria Math" panose="02040503050406030204" pitchFamily="18" charset="0"/>
                      </a:rPr>
                      <m:t> </m:t>
                    </m:r>
                    <m:r>
                      <a:rPr lang="en-US" sz="1100" b="0" i="1">
                        <a:latin typeface="Cambria Math" panose="02040503050406030204" pitchFamily="18" charset="0"/>
                      </a:rPr>
                      <m:t>𝐿𝑜𝑠𝑠𝑒𝑠</m:t>
                    </m:r>
                    <m:r>
                      <a:rPr lang="en-US" sz="1100" b="0" i="1">
                        <a:latin typeface="Cambria Math" panose="02040503050406030204" pitchFamily="18" charset="0"/>
                      </a:rPr>
                      <m:t>−</m:t>
                    </m:r>
                    <m:r>
                      <a:rPr lang="en-US" sz="1100" b="0" i="1">
                        <a:latin typeface="Cambria Math" panose="02040503050406030204" pitchFamily="18" charset="0"/>
                      </a:rPr>
                      <m:t>𝐿𝑜𝑠𝑠𝑒𝑠</m:t>
                    </m:r>
                    <m:r>
                      <a:rPr lang="en-US" sz="1100" b="0" i="1">
                        <a:latin typeface="Cambria Math" panose="02040503050406030204" pitchFamily="18" charset="0"/>
                      </a:rPr>
                      <m:t> </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𝑇h𝑟𝑒𝑠h𝑜𝑙𝑑</m:t>
                    </m:r>
                  </m:oMath>
                </m:oMathPara>
              </a14:m>
              <a:endParaRPr lang="en-US" sz="1100"/>
            </a:p>
          </xdr:txBody>
        </xdr:sp>
      </mc:Choice>
      <mc:Fallback xmlns="">
        <xdr:sp macro="" textlink="">
          <xdr:nvSpPr>
            <xdr:cNvPr id="2" name="TextBox 1">
              <a:extLst>
                <a:ext uri="{FF2B5EF4-FFF2-40B4-BE49-F238E27FC236}">
                  <a16:creationId xmlns:a16="http://schemas.microsoft.com/office/drawing/2014/main" id="{F810CC5E-FCE1-054F-95AA-796EA49BB6C4}"/>
                </a:ext>
              </a:extLst>
            </xdr:cNvPr>
            <xdr:cNvSpPr txBox="1"/>
          </xdr:nvSpPr>
          <xdr:spPr>
            <a:xfrm>
              <a:off x="984250" y="7493000"/>
              <a:ext cx="4265848"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𝑁𝑜𝑛"-" 𝐸𝑥𝑐𝑒𝑠𝑠 𝐿𝑜𝑠𝑠𝑒𝑠=𝑅𝑒𝑝𝑜𝑟𝑡𝑒𝑑 𝐿𝑜𝑠𝑠𝑒𝑠−𝐿𝑜𝑠𝑠𝑒𝑠 𝐸𝑥𝑐𝑒𝑠𝑠 𝑇ℎ𝑟𝑒𝑠ℎ𝑜𝑙𝑑</a:t>
              </a:r>
              <a:endParaRPr lang="en-US" sz="1100"/>
            </a:p>
          </xdr:txBody>
        </xdr:sp>
      </mc:Fallback>
    </mc:AlternateContent>
    <xdr:clientData/>
  </xdr:oneCellAnchor>
  <xdr:oneCellAnchor>
    <xdr:from>
      <xdr:col>1</xdr:col>
      <xdr:colOff>211667</xdr:colOff>
      <xdr:row>81</xdr:row>
      <xdr:rowOff>10584</xdr:rowOff>
    </xdr:from>
    <xdr:ext cx="5029261" cy="264431"/>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AB769809-1492-5840-AFD5-B72B15DDACBE}"/>
                </a:ext>
              </a:extLst>
            </xdr:cNvPr>
            <xdr:cNvSpPr txBox="1"/>
          </xdr:nvSpPr>
          <xdr:spPr>
            <a:xfrm>
              <a:off x="1037167" y="16192501"/>
              <a:ext cx="5029261"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𝐿𝑜𝑠𝑠𝑒𝑠</m:t>
                    </m:r>
                    <m:r>
                      <a:rPr lang="en-US" sz="1100" b="0" i="1">
                        <a:latin typeface="Cambria Math" panose="02040503050406030204" pitchFamily="18" charset="0"/>
                      </a:rPr>
                      <m:t> </m:t>
                    </m:r>
                    <m:r>
                      <a:rPr lang="en-US" sz="1100" b="0" i="1">
                        <a:latin typeface="Cambria Math" panose="02040503050406030204" pitchFamily="18" charset="0"/>
                      </a:rPr>
                      <m:t>𝐴𝑑𝑗𝑢𝑠𝑡𝑒𝑑</m:t>
                    </m:r>
                    <m:r>
                      <a:rPr lang="en-US" sz="1100" b="0" i="1">
                        <a:latin typeface="Cambria Math" panose="02040503050406030204" pitchFamily="18" charset="0"/>
                      </a:rPr>
                      <m:t> </m:t>
                    </m:r>
                    <m:r>
                      <a:rPr lang="en-US" sz="1100" b="0" i="1">
                        <a:latin typeface="Cambria Math" panose="02040503050406030204" pitchFamily="18" charset="0"/>
                      </a:rPr>
                      <m:t>𝑓𝑜𝑟</m:t>
                    </m:r>
                    <m:r>
                      <a:rPr lang="en-US" sz="1100" b="0" i="1">
                        <a:latin typeface="Cambria Math" panose="02040503050406030204" pitchFamily="18" charset="0"/>
                      </a:rPr>
                      <m:t> </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𝐿𝑜𝑠𝑠𝑒𝑠</m:t>
                    </m:r>
                    <m:r>
                      <a:rPr lang="en-US" sz="1100" b="0" i="1">
                        <a:latin typeface="Cambria Math" panose="02040503050406030204" pitchFamily="18" charset="0"/>
                      </a:rPr>
                      <m:t>=</m:t>
                    </m:r>
                    <m:r>
                      <a:rPr lang="en-US" sz="1100" b="0" i="1">
                        <a:latin typeface="Cambria Math" panose="02040503050406030204" pitchFamily="18" charset="0"/>
                      </a:rPr>
                      <m:t>𝑁𝑜𝑛</m:t>
                    </m:r>
                    <m:r>
                      <m:rPr>
                        <m:nor/>
                      </m:rPr>
                      <a:rPr lang="en-US" sz="1100" b="0" i="0">
                        <a:latin typeface="Cambria Math" panose="02040503050406030204" pitchFamily="18" charset="0"/>
                      </a:rPr>
                      <m:t>−</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𝐿𝑜𝑠𝑠𝑒𝑠</m:t>
                    </m:r>
                    <m:r>
                      <a:rPr lang="en-US" sz="1100" b="0" i="1">
                        <a:latin typeface="Cambria Math" panose="02040503050406030204" pitchFamily="18" charset="0"/>
                      </a:rPr>
                      <m:t> ×</m:t>
                    </m:r>
                    <m:r>
                      <a:rPr lang="en-US" sz="1100" b="0" i="1">
                        <a:latin typeface="Cambria Math" panose="02040503050406030204" pitchFamily="18" charset="0"/>
                        <a:ea typeface="Cambria Math" panose="02040503050406030204" pitchFamily="18" charset="0"/>
                      </a:rPr>
                      <m:t>𝐸𝑥𝑐𝑒𝑠𝑠</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𝐿𝑜𝑠𝑠</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oMath>
                </m:oMathPara>
              </a14:m>
              <a:endParaRPr lang="en-US" sz="1100"/>
            </a:p>
          </xdr:txBody>
        </xdr:sp>
      </mc:Choice>
      <mc:Fallback xmlns="">
        <xdr:sp macro="" textlink="">
          <xdr:nvSpPr>
            <xdr:cNvPr id="6" name="TextBox 5">
              <a:extLst>
                <a:ext uri="{FF2B5EF4-FFF2-40B4-BE49-F238E27FC236}">
                  <a16:creationId xmlns:a16="http://schemas.microsoft.com/office/drawing/2014/main" id="{AB769809-1492-5840-AFD5-B72B15DDACBE}"/>
                </a:ext>
              </a:extLst>
            </xdr:cNvPr>
            <xdr:cNvSpPr txBox="1"/>
          </xdr:nvSpPr>
          <xdr:spPr>
            <a:xfrm>
              <a:off x="1037167" y="16192501"/>
              <a:ext cx="5029261"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𝐿𝑜𝑠𝑠𝑒𝑠 𝐴𝑑𝑗𝑢𝑠𝑡𝑒𝑑 𝑓𝑜𝑟 𝐸𝑥𝑐𝑒𝑠𝑠 𝐿𝑜𝑠𝑠𝑒𝑠=𝑁𝑜𝑛"-" 𝐸𝑥𝑐𝑒𝑠𝑠 𝐿𝑜𝑠𝑠𝑒𝑠 ×</a:t>
              </a:r>
              <a:r>
                <a:rPr lang="en-US" sz="1100" b="0" i="0">
                  <a:latin typeface="Cambria Math" panose="02040503050406030204" pitchFamily="18" charset="0"/>
                  <a:ea typeface="Cambria Math" panose="02040503050406030204" pitchFamily="18" charset="0"/>
                </a:rPr>
                <a:t>𝐸𝑥𝑐𝑒𝑠𝑠 𝐿𝑜𝑠𝑠 𝐹𝑎𝑐𝑡𝑜𝑟</a:t>
              </a:r>
              <a:endParaRPr lang="en-US" sz="1100"/>
            </a:p>
          </xdr:txBody>
        </xdr:sp>
      </mc:Fallback>
    </mc:AlternateContent>
    <xdr:clientData/>
  </xdr:oneCellAnchor>
  <xdr:oneCellAnchor>
    <xdr:from>
      <xdr:col>1</xdr:col>
      <xdr:colOff>116416</xdr:colOff>
      <xdr:row>48</xdr:row>
      <xdr:rowOff>158750</xdr:rowOff>
    </xdr:from>
    <xdr:ext cx="2708882" cy="413768"/>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CCC76980-4D5D-9348-8544-C580CC82CDCA}"/>
                </a:ext>
              </a:extLst>
            </xdr:cNvPr>
            <xdr:cNvSpPr txBox="1"/>
          </xdr:nvSpPr>
          <xdr:spPr>
            <a:xfrm>
              <a:off x="941916" y="9906000"/>
              <a:ext cx="2708882" cy="41376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𝑅𝑎𝑡𝑖𝑜</m:t>
                    </m:r>
                    <m:r>
                      <a:rPr lang="en-US" sz="1100" b="0" i="1">
                        <a:latin typeface="Cambria Math" panose="02040503050406030204" pitchFamily="18" charset="0"/>
                      </a:rPr>
                      <m:t>= </m:t>
                    </m:r>
                    <m:f>
                      <m:fPr>
                        <m:ctrlPr>
                          <a:rPr lang="en-US" sz="1100" b="0" i="1">
                            <a:latin typeface="Cambria Math" panose="02040503050406030204" pitchFamily="18" charset="0"/>
                          </a:rPr>
                        </m:ctrlPr>
                      </m:fPr>
                      <m:num>
                        <m:r>
                          <a:rPr lang="en-US" sz="1100" b="0" i="1">
                            <a:latin typeface="Cambria Math" panose="02040503050406030204" pitchFamily="18" charset="0"/>
                          </a:rPr>
                          <m:t>𝐿𝑜𝑠𝑠𝑒𝑠</m:t>
                        </m:r>
                        <m:r>
                          <a:rPr lang="en-US" sz="1100" b="0" i="1">
                            <a:latin typeface="Cambria Math" panose="02040503050406030204" pitchFamily="18" charset="0"/>
                          </a:rPr>
                          <m:t> </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𝑇h𝑟𝑒𝑠h𝑜𝑙𝑑</m:t>
                        </m:r>
                      </m:num>
                      <m:den>
                        <m:r>
                          <a:rPr lang="en-US" sz="1100" b="0" i="1">
                            <a:latin typeface="Cambria Math" panose="02040503050406030204" pitchFamily="18" charset="0"/>
                          </a:rPr>
                          <m:t>𝑁𝑜𝑛</m:t>
                        </m:r>
                        <m:r>
                          <m:rPr>
                            <m:nor/>
                          </m:rPr>
                          <a:rPr lang="en-US" sz="1100" b="0" i="0">
                            <a:latin typeface="Cambria Math" panose="02040503050406030204" pitchFamily="18" charset="0"/>
                          </a:rPr>
                          <m:t>−</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𝑇h𝑟𝑒𝑠h𝑜𝑙𝑑</m:t>
                        </m:r>
                      </m:den>
                    </m:f>
                  </m:oMath>
                </m:oMathPara>
              </a14:m>
              <a:endParaRPr lang="en-US" sz="1100"/>
            </a:p>
          </xdr:txBody>
        </xdr:sp>
      </mc:Choice>
      <mc:Fallback xmlns="">
        <xdr:sp macro="" textlink="">
          <xdr:nvSpPr>
            <xdr:cNvPr id="7" name="TextBox 6">
              <a:extLst>
                <a:ext uri="{FF2B5EF4-FFF2-40B4-BE49-F238E27FC236}">
                  <a16:creationId xmlns:a16="http://schemas.microsoft.com/office/drawing/2014/main" id="{CCC76980-4D5D-9348-8544-C580CC82CDCA}"/>
                </a:ext>
              </a:extLst>
            </xdr:cNvPr>
            <xdr:cNvSpPr txBox="1"/>
          </xdr:nvSpPr>
          <xdr:spPr>
            <a:xfrm>
              <a:off x="941916" y="9906000"/>
              <a:ext cx="2708882" cy="41376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𝐸𝑥𝑐𝑒𝑠𝑠 𝑅𝑎𝑡𝑖𝑜=  (𝐿𝑜𝑠𝑠𝑒𝑠 𝐸𝑥𝑐𝑒𝑠𝑠 𝑇ℎ𝑟𝑒𝑠ℎ𝑜𝑙𝑑)/(𝑁𝑜𝑛"-" 𝐸𝑥𝑐𝑒𝑠𝑠 𝑇ℎ𝑟𝑒𝑠ℎ𝑜𝑙𝑑)</a:t>
              </a:r>
              <a:endParaRPr lang="en-US" sz="1100"/>
            </a:p>
          </xdr:txBody>
        </xdr:sp>
      </mc:Fallback>
    </mc:AlternateContent>
    <xdr:clientData/>
  </xdr:oneCellAnchor>
  <xdr:oneCellAnchor>
    <xdr:from>
      <xdr:col>1</xdr:col>
      <xdr:colOff>105835</xdr:colOff>
      <xdr:row>73</xdr:row>
      <xdr:rowOff>10583</xdr:rowOff>
    </xdr:from>
    <xdr:ext cx="3476528" cy="448071"/>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E4E844FF-0204-774B-8A57-3E33460AA1B8}"/>
                </a:ext>
              </a:extLst>
            </xdr:cNvPr>
            <xdr:cNvSpPr txBox="1"/>
          </xdr:nvSpPr>
          <xdr:spPr>
            <a:xfrm>
              <a:off x="931335" y="16795750"/>
              <a:ext cx="3476528" cy="4480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=1+ </m:t>
                    </m:r>
                    <m:f>
                      <m:fPr>
                        <m:ctrlPr>
                          <a:rPr lang="en-US" sz="1100" b="0" i="1">
                            <a:latin typeface="Cambria Math" panose="02040503050406030204" pitchFamily="18" charset="0"/>
                          </a:rPr>
                        </m:ctrlPr>
                      </m:fPr>
                      <m:num>
                        <m:nary>
                          <m:naryPr>
                            <m:chr m:val="∑"/>
                            <m:subHide m:val="on"/>
                            <m:supHide m:val="on"/>
                            <m:ctrlPr>
                              <a:rPr lang="en-US" sz="1100" b="0" i="1">
                                <a:latin typeface="Cambria Math" panose="02040503050406030204" pitchFamily="18" charset="0"/>
                              </a:rPr>
                            </m:ctrlPr>
                          </m:naryPr>
                          <m:sub/>
                          <m:sup/>
                          <m:e>
                            <m:r>
                              <a:rPr lang="en-US" sz="1100" b="0" i="1">
                                <a:latin typeface="Cambria Math" panose="02040503050406030204" pitchFamily="18" charset="0"/>
                              </a:rPr>
                              <m:t>𝐿𝑜𝑠𝑠𝑒𝑠</m:t>
                            </m:r>
                            <m:r>
                              <a:rPr lang="en-US" sz="1100" b="0" i="1">
                                <a:latin typeface="Cambria Math" panose="02040503050406030204" pitchFamily="18" charset="0"/>
                              </a:rPr>
                              <m:t> </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𝑇h𝑟𝑒𝑠h𝑜𝑙𝑑</m:t>
                            </m:r>
                          </m:e>
                        </m:nary>
                      </m:num>
                      <m:den>
                        <m:nary>
                          <m:naryPr>
                            <m:chr m:val="∑"/>
                            <m:subHide m:val="on"/>
                            <m:supHide m:val="on"/>
                            <m:ctrlPr>
                              <a:rPr lang="en-US" sz="1100" b="0" i="1">
                                <a:latin typeface="Cambria Math" panose="02040503050406030204" pitchFamily="18" charset="0"/>
                              </a:rPr>
                            </m:ctrlPr>
                          </m:naryPr>
                          <m:sub/>
                          <m:sup/>
                          <m:e>
                            <m:r>
                              <a:rPr lang="en-US" sz="1100" b="0" i="1">
                                <a:latin typeface="Cambria Math" panose="02040503050406030204" pitchFamily="18" charset="0"/>
                              </a:rPr>
                              <m:t>𝑁𝑜𝑛</m:t>
                            </m:r>
                            <m:r>
                              <m:rPr>
                                <m:nor/>
                              </m:rPr>
                              <a:rPr lang="en-US" sz="1100" b="0" i="0">
                                <a:latin typeface="Cambria Math" panose="02040503050406030204" pitchFamily="18" charset="0"/>
                              </a:rPr>
                              <m:t>−</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𝑇h𝑟𝑒𝑠h𝑜𝑙𝑑</m:t>
                            </m:r>
                          </m:e>
                        </m:nary>
                      </m:den>
                    </m:f>
                  </m:oMath>
                </m:oMathPara>
              </a14:m>
              <a:endParaRPr lang="en-US" sz="1100"/>
            </a:p>
          </xdr:txBody>
        </xdr:sp>
      </mc:Choice>
      <mc:Fallback xmlns="">
        <xdr:sp macro="" textlink="">
          <xdr:nvSpPr>
            <xdr:cNvPr id="8" name="TextBox 7">
              <a:extLst>
                <a:ext uri="{FF2B5EF4-FFF2-40B4-BE49-F238E27FC236}">
                  <a16:creationId xmlns:a16="http://schemas.microsoft.com/office/drawing/2014/main" id="{E4E844FF-0204-774B-8A57-3E33460AA1B8}"/>
                </a:ext>
              </a:extLst>
            </xdr:cNvPr>
            <xdr:cNvSpPr txBox="1"/>
          </xdr:nvSpPr>
          <xdr:spPr>
            <a:xfrm>
              <a:off x="931335" y="16795750"/>
              <a:ext cx="3476528" cy="4480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𝐸𝑥𝑐𝑒𝑠𝑠 𝐿𝑜𝑠𝑠 𝐹𝑎𝑐𝑡𝑜𝑟=1+  (∑▒〖𝐿𝑜𝑠𝑠𝑒𝑠 𝐸𝑥𝑐𝑒𝑠𝑠 𝑇ℎ𝑟𝑒𝑠ℎ𝑜𝑙𝑑〗)/(∑▒〖𝑁𝑜𝑛"-" 𝐸𝑥𝑐𝑒𝑠𝑠 𝑇ℎ𝑟𝑒𝑠ℎ𝑜𝑙𝑑〗)</a:t>
              </a:r>
              <a:endParaRPr lang="en-US" sz="1100"/>
            </a:p>
          </xdr:txBody>
        </xdr:sp>
      </mc:Fallback>
    </mc:AlternateContent>
    <xdr:clientData/>
  </xdr:oneCellAnchor>
  <xdr:oneCellAnchor>
    <xdr:from>
      <xdr:col>1</xdr:col>
      <xdr:colOff>127000</xdr:colOff>
      <xdr:row>38</xdr:row>
      <xdr:rowOff>190499</xdr:rowOff>
    </xdr:from>
    <xdr:ext cx="5384936" cy="264431"/>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9FE2980E-38B8-A34E-B8D2-2CC5CBF2E067}"/>
                </a:ext>
              </a:extLst>
            </xdr:cNvPr>
            <xdr:cNvSpPr txBox="1"/>
          </xdr:nvSpPr>
          <xdr:spPr>
            <a:xfrm>
              <a:off x="952500" y="7524749"/>
              <a:ext cx="5384936"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𝐿𝑜𝑠𝑠𝑒𝑠</m:t>
                    </m:r>
                    <m:r>
                      <a:rPr lang="en-US" sz="1100" b="0" i="1">
                        <a:latin typeface="Cambria Math" panose="02040503050406030204" pitchFamily="18" charset="0"/>
                      </a:rPr>
                      <m:t> </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𝑇h𝑟𝑒𝑠h𝑜𝑙𝑑</m:t>
                    </m:r>
                    <m:r>
                      <a:rPr lang="en-US" sz="1100" b="0" i="1">
                        <a:latin typeface="Cambria Math" panose="02040503050406030204" pitchFamily="18" charset="0"/>
                      </a:rPr>
                      <m:t>=</m:t>
                    </m:r>
                    <m:r>
                      <a:rPr lang="en-US" sz="1100" b="0" i="1">
                        <a:latin typeface="Cambria Math" panose="02040503050406030204" pitchFamily="18" charset="0"/>
                      </a:rPr>
                      <m:t>𝐺𝑟𝑜𝑢𝑛𝑑</m:t>
                    </m:r>
                    <m:r>
                      <m:rPr>
                        <m:nor/>
                      </m:rPr>
                      <a:rPr lang="en-US" sz="1100" b="0" i="0">
                        <a:latin typeface="Cambria Math" panose="02040503050406030204" pitchFamily="18" charset="0"/>
                      </a:rPr>
                      <m:t>−</m:t>
                    </m:r>
                    <m:r>
                      <a:rPr lang="en-US" sz="1100" b="0" i="1">
                        <a:latin typeface="Cambria Math" panose="02040503050406030204" pitchFamily="18" charset="0"/>
                      </a:rPr>
                      <m:t>𝑈𝑝</m:t>
                    </m:r>
                    <m:r>
                      <a:rPr lang="en-US" sz="1100" b="0" i="1">
                        <a:latin typeface="Cambria Math" panose="02040503050406030204" pitchFamily="18" charset="0"/>
                      </a:rPr>
                      <m:t> </m:t>
                    </m:r>
                    <m:r>
                      <a:rPr lang="en-US" sz="1100" b="0" i="1">
                        <a:latin typeface="Cambria Math" panose="02040503050406030204" pitchFamily="18" charset="0"/>
                      </a:rPr>
                      <m:t>𝐸𝑥𝑐𝑒𝑠𝑠</m:t>
                    </m:r>
                    <m:r>
                      <a:rPr lang="en-US" sz="1100" b="0" i="1">
                        <a:latin typeface="Cambria Math" panose="02040503050406030204" pitchFamily="18" charset="0"/>
                      </a:rPr>
                      <m:t> </m:t>
                    </m:r>
                    <m:r>
                      <a:rPr lang="en-US" sz="1100" b="0" i="1">
                        <a:latin typeface="Cambria Math" panose="02040503050406030204" pitchFamily="18" charset="0"/>
                      </a:rPr>
                      <m:t>𝐿𝑜𝑠𝑠𝑒𝑠</m:t>
                    </m:r>
                    <m:r>
                      <a:rPr lang="en-US" sz="1100" b="0" i="1">
                        <a:latin typeface="Cambria Math" panose="02040503050406030204" pitchFamily="18" charset="0"/>
                      </a:rPr>
                      <m:t>−</m:t>
                    </m:r>
                    <m:r>
                      <a:rPr lang="en-US" sz="1100" b="0" i="1">
                        <a:latin typeface="Cambria Math" panose="02040503050406030204" pitchFamily="18" charset="0"/>
                      </a:rPr>
                      <m:t>𝑇h𝑟𝑒𝑠h𝑜𝑙𝑑</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𝐸𝑥𝑐𝑒𝑠𝑠</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𝐶𝑙𝑎𝑖𝑚𝑠</m:t>
                    </m:r>
                  </m:oMath>
                </m:oMathPara>
              </a14:m>
              <a:endParaRPr lang="en-US" sz="1100"/>
            </a:p>
          </xdr:txBody>
        </xdr:sp>
      </mc:Choice>
      <mc:Fallback xmlns="">
        <xdr:sp macro="" textlink="">
          <xdr:nvSpPr>
            <xdr:cNvPr id="9" name="TextBox 8">
              <a:extLst>
                <a:ext uri="{FF2B5EF4-FFF2-40B4-BE49-F238E27FC236}">
                  <a16:creationId xmlns:a16="http://schemas.microsoft.com/office/drawing/2014/main" id="{9FE2980E-38B8-A34E-B8D2-2CC5CBF2E067}"/>
                </a:ext>
              </a:extLst>
            </xdr:cNvPr>
            <xdr:cNvSpPr txBox="1"/>
          </xdr:nvSpPr>
          <xdr:spPr>
            <a:xfrm>
              <a:off x="952500" y="7524749"/>
              <a:ext cx="5384936"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𝐿𝑜𝑠𝑠𝑒𝑠 𝐸𝑥𝑐𝑒𝑠𝑠 𝑇ℎ𝑟𝑒𝑠ℎ𝑜𝑙𝑑=𝐺𝑟𝑜𝑢𝑛𝑑"-" 𝑈𝑝 𝐸𝑥𝑐𝑒𝑠𝑠 𝐿𝑜𝑠𝑠𝑒𝑠−𝑇ℎ𝑟𝑒𝑠ℎ𝑜𝑙𝑑</a:t>
              </a:r>
              <a:r>
                <a:rPr lang="en-US" sz="1100" b="0" i="0">
                  <a:latin typeface="Cambria Math" panose="02040503050406030204" pitchFamily="18" charset="0"/>
                  <a:ea typeface="Cambria Math" panose="02040503050406030204" pitchFamily="18" charset="0"/>
                </a:rPr>
                <a:t>×#𝐸𝑥𝑐𝑒𝑠𝑠 𝐶𝑙𝑎𝑖𝑚𝑠</a:t>
              </a:r>
              <a:endParaRPr lang="en-US" sz="1100"/>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201084</xdr:colOff>
      <xdr:row>215</xdr:row>
      <xdr:rowOff>105833</xdr:rowOff>
    </xdr:from>
    <xdr:ext cx="1576916" cy="592470"/>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56DBA44-8747-D84C-B61B-F512B49ADADB}"/>
                </a:ext>
              </a:extLst>
            </xdr:cNvPr>
            <xdr:cNvSpPr txBox="1"/>
          </xdr:nvSpPr>
          <xdr:spPr>
            <a:xfrm>
              <a:off x="1026584" y="44513500"/>
              <a:ext cx="1576916" cy="5924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𝑍</m:t>
                    </m:r>
                    <m:r>
                      <a:rPr lang="en-US" sz="1100" b="0" i="1">
                        <a:latin typeface="Cambria Math" panose="02040503050406030204" pitchFamily="18" charset="0"/>
                      </a:rPr>
                      <m:t>=</m:t>
                    </m:r>
                    <m:rad>
                      <m:radPr>
                        <m:degHide m:val="on"/>
                        <m:ctrlPr>
                          <a:rPr lang="en-US" sz="1100" b="0" i="1">
                            <a:latin typeface="Cambria Math" panose="02040503050406030204" pitchFamily="18" charset="0"/>
                            <a:ea typeface="Cambria Math" panose="02040503050406030204" pitchFamily="18" charset="0"/>
                          </a:rPr>
                        </m:ctrlPr>
                      </m:radPr>
                      <m:deg/>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𝐶𝑙𝑎𝑖𝑚𝑠</m:t>
                            </m:r>
                          </m:num>
                          <m:den>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𝐶𝑙𝑎𝑖𝑚</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𝑠</m:t>
                                </m:r>
                              </m:e>
                              <m:sub>
                                <m:r>
                                  <a:rPr lang="en-US" sz="1100" b="0" i="1">
                                    <a:latin typeface="Cambria Math" panose="02040503050406030204" pitchFamily="18" charset="0"/>
                                    <a:ea typeface="Cambria Math" panose="02040503050406030204" pitchFamily="18" charset="0"/>
                                  </a:rPr>
                                  <m:t>𝐹𝑢𝑙𝑙</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𝐶𝑟𝑒𝑑</m:t>
                                </m:r>
                              </m:sub>
                            </m:sSub>
                          </m:den>
                        </m:f>
                      </m:e>
                    </m:rad>
                  </m:oMath>
                </m:oMathPara>
              </a14:m>
              <a:endParaRPr lang="en-US" sz="1100"/>
            </a:p>
          </xdr:txBody>
        </xdr:sp>
      </mc:Choice>
      <mc:Fallback xmlns="">
        <xdr:sp macro="" textlink="">
          <xdr:nvSpPr>
            <xdr:cNvPr id="10" name="TextBox 9">
              <a:extLst>
                <a:ext uri="{FF2B5EF4-FFF2-40B4-BE49-F238E27FC236}">
                  <a16:creationId xmlns:a16="http://schemas.microsoft.com/office/drawing/2014/main" id="{056DBA44-8747-D84C-B61B-F512B49ADADB}"/>
                </a:ext>
              </a:extLst>
            </xdr:cNvPr>
            <xdr:cNvSpPr txBox="1"/>
          </xdr:nvSpPr>
          <xdr:spPr>
            <a:xfrm>
              <a:off x="1026584" y="44513500"/>
              <a:ext cx="1576916" cy="5924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r>
                <a:rPr lang="en-US" sz="1100" b="0" i="0">
                  <a:latin typeface="Cambria Math" panose="02040503050406030204" pitchFamily="18" charset="0"/>
                </a:rPr>
                <a:t>𝑍=</a:t>
              </a:r>
              <a:r>
                <a:rPr lang="en-US" sz="1100" b="0" i="0">
                  <a:latin typeface="Cambria Math" panose="02040503050406030204" pitchFamily="18" charset="0"/>
                  <a:ea typeface="Cambria Math" panose="02040503050406030204" pitchFamily="18" charset="0"/>
                </a:rPr>
                <a:t>√((# 𝐶𝑙𝑎𝑖𝑚𝑠)/(# 𝐶𝑙𝑎𝑖𝑚𝑠_(𝐹𝑢𝑙𝑙 𝐶𝑟𝑒𝑑) ))</a:t>
              </a:r>
              <a:endParaRPr lang="en-US" sz="1100"/>
            </a:p>
          </xdr:txBody>
        </xdr:sp>
      </mc:Fallback>
    </mc:AlternateContent>
    <xdr:clientData/>
  </xdr:oneCellAnchor>
  <xdr:oneCellAnchor>
    <xdr:from>
      <xdr:col>1</xdr:col>
      <xdr:colOff>74083</xdr:colOff>
      <xdr:row>205</xdr:row>
      <xdr:rowOff>116417</xdr:rowOff>
    </xdr:from>
    <xdr:ext cx="2635250" cy="452624"/>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F3CE6880-E4DA-5C49-B59D-4116DF9035AC}"/>
                </a:ext>
              </a:extLst>
            </xdr:cNvPr>
            <xdr:cNvSpPr txBox="1"/>
          </xdr:nvSpPr>
          <xdr:spPr>
            <a:xfrm>
              <a:off x="899583" y="42513250"/>
              <a:ext cx="2635250" cy="4526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𝐼𝑛𝑑𝑖𝑐𝑎𝑡𝑒𝑑</m:t>
                    </m:r>
                    <m:r>
                      <a:rPr lang="en-US" sz="1100" b="0" i="1">
                        <a:latin typeface="Cambria Math" panose="02040503050406030204" pitchFamily="18" charset="0"/>
                      </a:rPr>
                      <m:t> </m:t>
                    </m:r>
                    <m:r>
                      <a:rPr lang="en-US" sz="1100" b="0" i="1">
                        <a:latin typeface="Cambria Math" panose="02040503050406030204" pitchFamily="18" charset="0"/>
                      </a:rPr>
                      <m:t>𝐶h𝑎𝑛𝑔𝑒</m:t>
                    </m:r>
                    <m:r>
                      <a:rPr lang="en-US" sz="1100" b="0" i="1">
                        <a:latin typeface="Cambria Math" panose="02040503050406030204" pitchFamily="18" charset="0"/>
                      </a:rPr>
                      <m:t>=</m:t>
                    </m:r>
                    <m:f>
                      <m:fPr>
                        <m:ctrlPr>
                          <a:rPr lang="en-US" sz="1100" b="0" i="1">
                            <a:latin typeface="Cambria Math" panose="02040503050406030204" pitchFamily="18" charset="0"/>
                          </a:rPr>
                        </m:ctrlPr>
                      </m:fPr>
                      <m:num>
                        <m:f>
                          <m:fPr>
                            <m:type m:val="lin"/>
                            <m:ctrlPr>
                              <a:rPr lang="en-US" sz="1100" b="0" i="1">
                                <a:latin typeface="Cambria Math" panose="02040503050406030204" pitchFamily="18" charset="0"/>
                              </a:rPr>
                            </m:ctrlPr>
                          </m:fPr>
                          <m:num>
                            <m:r>
                              <a:rPr lang="en-US" sz="1100" b="0" i="1">
                                <a:latin typeface="Cambria Math" panose="02040503050406030204" pitchFamily="18" charset="0"/>
                              </a:rPr>
                              <m:t>(</m:t>
                            </m:r>
                            <m:r>
                              <a:rPr lang="en-US" sz="1100" b="0" i="1">
                                <a:latin typeface="Cambria Math" panose="02040503050406030204" pitchFamily="18" charset="0"/>
                              </a:rPr>
                              <m:t>𝐿</m:t>
                            </m:r>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𝐸</m:t>
                                </m:r>
                              </m:e>
                              <m:sub>
                                <m:r>
                                  <a:rPr lang="en-US" sz="1100" b="0" i="1">
                                    <a:latin typeface="Cambria Math" panose="02040503050406030204" pitchFamily="18" charset="0"/>
                                  </a:rPr>
                                  <m:t>𝐿</m:t>
                                </m:r>
                              </m:sub>
                            </m:sSub>
                            <m:r>
                              <a:rPr lang="en-US" sz="1100" b="0" i="1">
                                <a:latin typeface="Cambria Math" panose="02040503050406030204" pitchFamily="18" charset="0"/>
                              </a:rPr>
                              <m:t>)</m:t>
                            </m:r>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𝑃</m:t>
                                </m:r>
                              </m:e>
                              <m:sub>
                                <m:r>
                                  <a:rPr lang="en-US" sz="1100" b="0" i="1">
                                    <a:latin typeface="Cambria Math" panose="02040503050406030204" pitchFamily="18" charset="0"/>
                                  </a:rPr>
                                  <m:t>𝐶</m:t>
                                </m:r>
                              </m:sub>
                            </m:sSub>
                          </m:den>
                        </m:f>
                        <m:r>
                          <a:rPr lang="en-US" sz="1100" b="0" i="1">
                            <a:latin typeface="Cambria Math" panose="02040503050406030204" pitchFamily="18" charset="0"/>
                          </a:rPr>
                          <m:t>+</m:t>
                        </m:r>
                        <m:r>
                          <a:rPr lang="en-US" sz="1100" b="0" i="1">
                            <a:latin typeface="Cambria Math" panose="02040503050406030204" pitchFamily="18" charset="0"/>
                          </a:rPr>
                          <m:t>𝐹</m:t>
                        </m:r>
                      </m:num>
                      <m:den>
                        <m:r>
                          <a:rPr lang="en-US" sz="1100" b="0" i="1">
                            <a:latin typeface="Cambria Math" panose="02040503050406030204" pitchFamily="18" charset="0"/>
                          </a:rPr>
                          <m:t>1−</m:t>
                        </m:r>
                        <m:r>
                          <a:rPr lang="en-US" sz="1100" b="0" i="1">
                            <a:latin typeface="Cambria Math" panose="02040503050406030204" pitchFamily="18" charset="0"/>
                          </a:rPr>
                          <m:t>𝑉</m:t>
                        </m:r>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𝑄</m:t>
                            </m:r>
                          </m:e>
                          <m:sub>
                            <m:r>
                              <a:rPr lang="en-US" sz="1100" b="0" i="1">
                                <a:latin typeface="Cambria Math" panose="02040503050406030204" pitchFamily="18" charset="0"/>
                              </a:rPr>
                              <m:t>𝑇</m:t>
                            </m:r>
                          </m:sub>
                        </m:sSub>
                      </m:den>
                    </m:f>
                    <m:r>
                      <a:rPr lang="en-US" sz="1100" b="0" i="1">
                        <a:latin typeface="Cambria Math" panose="02040503050406030204" pitchFamily="18" charset="0"/>
                      </a:rPr>
                      <m:t>−1</m:t>
                    </m:r>
                  </m:oMath>
                </m:oMathPara>
              </a14:m>
              <a:endParaRPr lang="en-US" sz="1100"/>
            </a:p>
          </xdr:txBody>
        </xdr:sp>
      </mc:Choice>
      <mc:Fallback xmlns="">
        <xdr:sp macro="" textlink="">
          <xdr:nvSpPr>
            <xdr:cNvPr id="22" name="TextBox 21">
              <a:extLst>
                <a:ext uri="{FF2B5EF4-FFF2-40B4-BE49-F238E27FC236}">
                  <a16:creationId xmlns:a16="http://schemas.microsoft.com/office/drawing/2014/main" id="{F3CE6880-E4DA-5C49-B59D-4116DF9035AC}"/>
                </a:ext>
              </a:extLst>
            </xdr:cNvPr>
            <xdr:cNvSpPr txBox="1"/>
          </xdr:nvSpPr>
          <xdr:spPr>
            <a:xfrm>
              <a:off x="899583" y="42513250"/>
              <a:ext cx="2635250" cy="4526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r>
                <a:rPr lang="en-US" sz="1100" b="0" i="0">
                  <a:latin typeface="Cambria Math" panose="02040503050406030204" pitchFamily="18" charset="0"/>
                </a:rPr>
                <a:t>𝐼𝑛𝑑𝑖𝑐𝑎𝑡𝑒𝑑 𝐶ℎ𝑎𝑛𝑔𝑒=(〖(𝐿+𝐸_𝐿)〗∕𝑃_𝐶 +𝐹)/(1−𝑉−𝑄_𝑇 )−1</a:t>
              </a:r>
              <a:endParaRPr lang="en-US" sz="1100"/>
            </a:p>
          </xdr:txBody>
        </xdr:sp>
      </mc:Fallback>
    </mc:AlternateContent>
    <xdr:clientData/>
  </xdr:oneCellAnchor>
  <xdr:oneCellAnchor>
    <xdr:from>
      <xdr:col>4</xdr:col>
      <xdr:colOff>444501</xdr:colOff>
      <xdr:row>205</xdr:row>
      <xdr:rowOff>137582</xdr:rowOff>
    </xdr:from>
    <xdr:ext cx="4641271" cy="443391"/>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44753553-DEA3-4D47-8BFD-D377561D5F3A}"/>
                </a:ext>
              </a:extLst>
            </xdr:cNvPr>
            <xdr:cNvSpPr txBox="1"/>
          </xdr:nvSpPr>
          <xdr:spPr>
            <a:xfrm>
              <a:off x="3746501" y="42534415"/>
              <a:ext cx="4641271" cy="44339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𝐼𝑛𝑑𝑖𝑐𝑎𝑡𝑒𝑑</m:t>
                    </m:r>
                    <m:r>
                      <a:rPr lang="en-US" sz="1100" b="0" i="1">
                        <a:latin typeface="Cambria Math" panose="02040503050406030204" pitchFamily="18" charset="0"/>
                      </a:rPr>
                      <m:t> </m:t>
                    </m:r>
                    <m:r>
                      <a:rPr lang="en-US" sz="1100" b="0" i="1">
                        <a:latin typeface="Cambria Math" panose="02040503050406030204" pitchFamily="18" charset="0"/>
                      </a:rPr>
                      <m:t>𝐶h𝑎𝑛𝑔𝑒</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𝐿𝑜𝑠𝑠</m:t>
                        </m:r>
                        <m:r>
                          <a:rPr lang="en-US" sz="1100" b="0" i="1">
                            <a:latin typeface="Cambria Math" panose="02040503050406030204" pitchFamily="18" charset="0"/>
                          </a:rPr>
                          <m:t> &amp; </m:t>
                        </m:r>
                        <m:r>
                          <a:rPr lang="en-US" sz="1100" b="0" i="1">
                            <a:latin typeface="Cambria Math" panose="02040503050406030204" pitchFamily="18" charset="0"/>
                          </a:rPr>
                          <m:t>𝐿𝐴𝐸</m:t>
                        </m:r>
                        <m:r>
                          <a:rPr lang="en-US" sz="1100" b="0" i="1">
                            <a:latin typeface="Cambria Math" panose="02040503050406030204" pitchFamily="18" charset="0"/>
                          </a:rPr>
                          <m:t> </m:t>
                        </m:r>
                        <m:r>
                          <a:rPr lang="en-US" sz="1100" b="0" i="1">
                            <a:latin typeface="Cambria Math" panose="02040503050406030204" pitchFamily="18" charset="0"/>
                          </a:rPr>
                          <m:t>𝑅𝑎𝑡𝑖𝑜</m:t>
                        </m:r>
                        <m:r>
                          <a:rPr lang="en-US" sz="1100" b="0" i="1">
                            <a:latin typeface="Cambria Math" panose="02040503050406030204" pitchFamily="18" charset="0"/>
                          </a:rPr>
                          <m:t>+</m:t>
                        </m:r>
                        <m:r>
                          <a:rPr lang="en-US" sz="1100" b="0" i="1">
                            <a:latin typeface="Cambria Math" panose="02040503050406030204" pitchFamily="18" charset="0"/>
                          </a:rPr>
                          <m:t>𝐹𝑖𝑥𝑒𝑑</m:t>
                        </m:r>
                        <m:r>
                          <a:rPr lang="en-US" sz="1100" b="0" i="1">
                            <a:latin typeface="Cambria Math" panose="02040503050406030204" pitchFamily="18" charset="0"/>
                          </a:rPr>
                          <m:t> </m:t>
                        </m:r>
                        <m:r>
                          <a:rPr lang="en-US" sz="1100" b="0" i="1">
                            <a:latin typeface="Cambria Math" panose="02040503050406030204" pitchFamily="18" charset="0"/>
                          </a:rPr>
                          <m:t>𝐸𝑥𝑝𝑒𝑛𝑠𝑒</m:t>
                        </m:r>
                        <m:r>
                          <a:rPr lang="en-US" sz="1100" b="0" i="1">
                            <a:latin typeface="Cambria Math" panose="02040503050406030204" pitchFamily="18" charset="0"/>
                          </a:rPr>
                          <m:t> </m:t>
                        </m:r>
                        <m:r>
                          <a:rPr lang="en-US" sz="1100" b="0" i="1">
                            <a:latin typeface="Cambria Math" panose="02040503050406030204" pitchFamily="18" charset="0"/>
                          </a:rPr>
                          <m:t>𝑅𝑎𝑡𝑖𝑜</m:t>
                        </m:r>
                      </m:num>
                      <m:den>
                        <m:r>
                          <a:rPr lang="en-US" sz="1100" b="0" i="1">
                            <a:latin typeface="Cambria Math" panose="02040503050406030204" pitchFamily="18" charset="0"/>
                          </a:rPr>
                          <m:t>1−</m:t>
                        </m:r>
                        <m:r>
                          <a:rPr lang="en-US" sz="1100" b="0" i="1">
                            <a:latin typeface="Cambria Math" panose="02040503050406030204" pitchFamily="18" charset="0"/>
                          </a:rPr>
                          <m:t>𝑉𝑎𝑟𝑖𝑎𝑏𝑙𝑒</m:t>
                        </m:r>
                        <m:r>
                          <a:rPr lang="en-US" sz="1100" b="0" i="1">
                            <a:latin typeface="Cambria Math" panose="02040503050406030204" pitchFamily="18" charset="0"/>
                          </a:rPr>
                          <m:t> </m:t>
                        </m:r>
                        <m:r>
                          <a:rPr lang="en-US" sz="1100" b="0" i="1">
                            <a:latin typeface="Cambria Math" panose="02040503050406030204" pitchFamily="18" charset="0"/>
                          </a:rPr>
                          <m:t>𝐸𝑥𝑝𝑒𝑛𝑠𝑒</m:t>
                        </m:r>
                        <m:r>
                          <a:rPr lang="en-US" sz="1100" b="0" i="1">
                            <a:latin typeface="Cambria Math" panose="02040503050406030204" pitchFamily="18" charset="0"/>
                          </a:rPr>
                          <m:t> %−</m:t>
                        </m:r>
                        <m:r>
                          <a:rPr lang="en-US" sz="1100" b="0" i="1">
                            <a:latin typeface="Cambria Math" panose="02040503050406030204" pitchFamily="18" charset="0"/>
                          </a:rPr>
                          <m:t>𝑇𝑎𝑟𝑔𝑒𝑡</m:t>
                        </m:r>
                        <m:r>
                          <a:rPr lang="en-US" sz="1100" b="0" i="1">
                            <a:latin typeface="Cambria Math" panose="02040503050406030204" pitchFamily="18" charset="0"/>
                          </a:rPr>
                          <m:t> </m:t>
                        </m:r>
                        <m:r>
                          <a:rPr lang="en-US" sz="1100" b="0" i="1">
                            <a:latin typeface="Cambria Math" panose="02040503050406030204" pitchFamily="18" charset="0"/>
                          </a:rPr>
                          <m:t>𝑈𝑊𝑃𝑟𝑜𝑓𝑖𝑡</m:t>
                        </m:r>
                        <m:r>
                          <a:rPr lang="en-US" sz="1100" b="0" i="1">
                            <a:latin typeface="Cambria Math" panose="02040503050406030204" pitchFamily="18" charset="0"/>
                          </a:rPr>
                          <m:t> %</m:t>
                        </m:r>
                      </m:den>
                    </m:f>
                    <m:r>
                      <a:rPr lang="en-US" sz="1100" b="0" i="1">
                        <a:latin typeface="Cambria Math" panose="02040503050406030204" pitchFamily="18" charset="0"/>
                      </a:rPr>
                      <m:t>−1</m:t>
                    </m:r>
                  </m:oMath>
                </m:oMathPara>
              </a14:m>
              <a:endParaRPr lang="en-US" sz="1100"/>
            </a:p>
          </xdr:txBody>
        </xdr:sp>
      </mc:Choice>
      <mc:Fallback xmlns="">
        <xdr:sp macro="" textlink="">
          <xdr:nvSpPr>
            <xdr:cNvPr id="23" name="TextBox 22">
              <a:extLst>
                <a:ext uri="{FF2B5EF4-FFF2-40B4-BE49-F238E27FC236}">
                  <a16:creationId xmlns:a16="http://schemas.microsoft.com/office/drawing/2014/main" id="{44753553-DEA3-4D47-8BFD-D377561D5F3A}"/>
                </a:ext>
              </a:extLst>
            </xdr:cNvPr>
            <xdr:cNvSpPr txBox="1"/>
          </xdr:nvSpPr>
          <xdr:spPr>
            <a:xfrm>
              <a:off x="3746501" y="42534415"/>
              <a:ext cx="4641271" cy="44339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𝐼𝑛𝑑𝑖𝑐𝑎𝑡𝑒𝑑 𝐶ℎ𝑎𝑛𝑔𝑒=(𝐿𝑜𝑠𝑠 &amp; 𝐿𝐴𝐸 𝑅𝑎𝑡𝑖𝑜+𝐹𝑖𝑥𝑒𝑑 𝐸𝑥𝑝𝑒𝑛𝑠𝑒 𝑅𝑎𝑡𝑖𝑜)/(1−𝑉𝑎𝑟𝑖𝑎𝑏𝑙𝑒 𝐸𝑥𝑝𝑒𝑛𝑠𝑒 %−𝑇𝑎𝑟𝑔𝑒𝑡 𝑈𝑊𝑃𝑟𝑜𝑓𝑖𝑡 %)−1</a:t>
              </a:r>
              <a:endParaRPr lang="en-US" sz="1100"/>
            </a:p>
          </xdr:txBody>
        </xdr:sp>
      </mc:Fallback>
    </mc:AlternateContent>
    <xdr:clientData fLocksWithSheet="0"/>
  </xdr:oneCellAnchor>
  <xdr:oneCellAnchor>
    <xdr:from>
      <xdr:col>1</xdr:col>
      <xdr:colOff>190501</xdr:colOff>
      <xdr:row>58</xdr:row>
      <xdr:rowOff>148166</xdr:rowOff>
    </xdr:from>
    <xdr:ext cx="3158109" cy="436786"/>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494734C5-C76A-7541-A393-B8FBCA167246}"/>
                </a:ext>
              </a:extLst>
            </xdr:cNvPr>
            <xdr:cNvSpPr txBox="1"/>
          </xdr:nvSpPr>
          <xdr:spPr>
            <a:xfrm>
              <a:off x="1016001" y="5355166"/>
              <a:ext cx="3158109" cy="4367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m:t>
                    </m:r>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1</m:t>
                        </m:r>
                      </m:sub>
                    </m:sSub>
                    <m:r>
                      <a:rPr lang="en-US" sz="1100" b="0" i="1">
                        <a:latin typeface="Cambria Math" panose="02040503050406030204" pitchFamily="18" charset="0"/>
                      </a:rPr>
                      <m:t>=1.00</m:t>
                    </m:r>
                  </m:oMath>
                </m:oMathPara>
              </a14:m>
              <a:endParaRPr lang="en-US" sz="1100" b="0"/>
            </a:p>
            <a:p>
              <a14:m>
                <m:oMath xmlns:m="http://schemas.openxmlformats.org/officeDocument/2006/math">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m:t>
                  </m:r>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sub>
                  </m:sSub>
                  <m:r>
                    <a:rPr lang="en-US" sz="1100" b="0" i="1">
                      <a:latin typeface="Cambria Math" panose="02040503050406030204" pitchFamily="18" charset="0"/>
                    </a:rPr>
                    <m:t>=</m:t>
                  </m:r>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m:t>
                  </m:r>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r>
                        <a:rPr lang="en-US" sz="1100" b="0" i="1">
                          <a:latin typeface="Cambria Math" panose="02040503050406030204" pitchFamily="18" charset="0"/>
                        </a:rPr>
                        <m:t>−1</m:t>
                      </m:r>
                    </m:sub>
                  </m:sSub>
                  <m:r>
                    <a:rPr lang="en-US" sz="1100" b="0" i="1">
                      <a:latin typeface="Cambria Math" panose="02040503050406030204" pitchFamily="18" charset="0"/>
                      <a:ea typeface="Cambria Math" panose="02040503050406030204" pitchFamily="18" charset="0"/>
                    </a:rPr>
                    <m:t>×(1+</m:t>
                  </m:r>
                  <m:r>
                    <a:rPr lang="en-US" sz="1100" b="0" i="1">
                      <a:latin typeface="Cambria Math" panose="02040503050406030204" pitchFamily="18" charset="0"/>
                      <a:ea typeface="Cambria Math" panose="02040503050406030204" pitchFamily="18" charset="0"/>
                    </a:rPr>
                    <m:t>𝑟𝑎𝑡𝑒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𝑐h𝑎𝑛𝑔</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𝑒</m:t>
                      </m:r>
                    </m:e>
                    <m:sub>
                      <m:r>
                        <a:rPr lang="en-US" sz="1100" b="0" i="1">
                          <a:latin typeface="Cambria Math" panose="02040503050406030204" pitchFamily="18" charset="0"/>
                          <a:ea typeface="Cambria Math" panose="02040503050406030204" pitchFamily="18" charset="0"/>
                        </a:rPr>
                        <m:t>𝑖</m:t>
                      </m:r>
                    </m:sub>
                  </m:sSub>
                  <m:r>
                    <a:rPr lang="en-US" sz="1100" b="0" i="1">
                      <a:latin typeface="Cambria Math" panose="02040503050406030204" pitchFamily="18" charset="0"/>
                      <a:ea typeface="Cambria Math" panose="02040503050406030204" pitchFamily="18" charset="0"/>
                    </a:rPr>
                    <m:t>)</m:t>
                  </m:r>
                </m:oMath>
              </a14:m>
              <a:r>
                <a:rPr lang="en-US" sz="1100"/>
                <a:t> </a:t>
              </a:r>
            </a:p>
          </xdr:txBody>
        </xdr:sp>
      </mc:Choice>
      <mc:Fallback xmlns="">
        <xdr:sp macro="" textlink="">
          <xdr:nvSpPr>
            <xdr:cNvPr id="24" name="TextBox 23">
              <a:extLst>
                <a:ext uri="{FF2B5EF4-FFF2-40B4-BE49-F238E27FC236}">
                  <a16:creationId xmlns:a16="http://schemas.microsoft.com/office/drawing/2014/main" id="{494734C5-C76A-7541-A393-B8FBCA167246}"/>
                </a:ext>
              </a:extLst>
            </xdr:cNvPr>
            <xdr:cNvSpPr txBox="1"/>
          </xdr:nvSpPr>
          <xdr:spPr>
            <a:xfrm>
              <a:off x="1016001" y="5355166"/>
              <a:ext cx="3158109" cy="4367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𝐶𝑅𝐿 𝐼𝑛𝑑𝑒𝑥_1=1.00</a:t>
              </a:r>
              <a:endParaRPr lang="en-US" sz="1100" b="0"/>
            </a:p>
            <a:p>
              <a:r>
                <a:rPr lang="en-US" sz="1100" b="0" i="0">
                  <a:latin typeface="Cambria Math" panose="02040503050406030204" pitchFamily="18" charset="0"/>
                </a:rPr>
                <a:t>𝐶𝑅𝐿 𝐼𝑛𝑑𝑒𝑥_𝑖=𝐶𝑅𝐿 𝐼𝑛𝑑𝑒𝑥_(𝑖−1)</a:t>
              </a:r>
              <a:r>
                <a:rPr lang="en-US" sz="1100" b="0" i="0">
                  <a:latin typeface="Cambria Math" panose="02040503050406030204" pitchFamily="18" charset="0"/>
                  <a:ea typeface="Cambria Math" panose="02040503050406030204" pitchFamily="18" charset="0"/>
                </a:rPr>
                <a:t>×(1+𝑟𝑎𝑡𝑒 𝑐ℎ𝑎𝑛𝑔𝑒_𝑖)</a:t>
              </a:r>
              <a:r>
                <a:rPr lang="en-US" sz="1100"/>
                <a:t> </a:t>
              </a:r>
            </a:p>
          </xdr:txBody>
        </xdr:sp>
      </mc:Fallback>
    </mc:AlternateContent>
    <xdr:clientData/>
  </xdr:oneCellAnchor>
  <xdr:oneCellAnchor>
    <xdr:from>
      <xdr:col>1</xdr:col>
      <xdr:colOff>42333</xdr:colOff>
      <xdr:row>77</xdr:row>
      <xdr:rowOff>116417</xdr:rowOff>
    </xdr:from>
    <xdr:ext cx="4219681" cy="502189"/>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EF5D5DC7-8739-3049-A641-B94C7CFBC98D}"/>
                </a:ext>
              </a:extLst>
            </xdr:cNvPr>
            <xdr:cNvSpPr txBox="1"/>
          </xdr:nvSpPr>
          <xdr:spPr>
            <a:xfrm>
              <a:off x="867833" y="14901334"/>
              <a:ext cx="421968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𝐼𝑛𝑑𝑒𝑥</m:t>
                    </m:r>
                    <m:r>
                      <a:rPr lang="en-US" sz="1100" b="0" i="1">
                        <a:latin typeface="Cambria Math" panose="02040503050406030204" pitchFamily="18" charset="0"/>
                      </a:rPr>
                      <m:t>=</m:t>
                    </m:r>
                    <m:nary>
                      <m:naryPr>
                        <m:chr m:val="∑"/>
                        <m:subHide m:val="on"/>
                        <m:supHide m:val="on"/>
                        <m:ctrlPr>
                          <a:rPr lang="en-US" sz="1100" b="0" i="1">
                            <a:latin typeface="Cambria Math" panose="02040503050406030204" pitchFamily="18" charset="0"/>
                          </a:rPr>
                        </m:ctrlPr>
                      </m:naryPr>
                      <m:sub/>
                      <m:sup/>
                      <m:e>
                        <m:r>
                          <a:rPr lang="en-US" sz="1100" b="0" i="1">
                            <a:latin typeface="Cambria Math" panose="02040503050406030204" pitchFamily="18" charset="0"/>
                          </a:rPr>
                          <m:t>%</m:t>
                        </m:r>
                        <m:r>
                          <a:rPr lang="en-US" sz="1100" b="0" i="1">
                            <a:latin typeface="Cambria Math" panose="02040503050406030204" pitchFamily="18" charset="0"/>
                          </a:rPr>
                          <m:t>𝐸𝑃</m:t>
                        </m:r>
                        <m:r>
                          <a:rPr lang="en-US" sz="1100" b="0" i="1">
                            <a:latin typeface="Cambria Math" panose="02040503050406030204" pitchFamily="18" charset="0"/>
                          </a:rPr>
                          <m:t> </m:t>
                        </m:r>
                        <m:r>
                          <a:rPr lang="en-US" sz="1100" b="0" i="1">
                            <a:latin typeface="Cambria Math" panose="02040503050406030204" pitchFamily="18" charset="0"/>
                          </a:rPr>
                          <m:t>𝑖𝑛</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 </m:t>
                        </m:r>
                        <m:r>
                          <a:rPr lang="en-US" sz="1100" b="0" i="1">
                            <a:latin typeface="Cambria Math" panose="02040503050406030204" pitchFamily="18" charset="0"/>
                          </a:rPr>
                          <m:t>𝐿𝑒𝑣𝑒𝑙</m:t>
                        </m:r>
                        <m:r>
                          <a:rPr lang="en-US" sz="1100" b="0" i="1">
                            <a:latin typeface="Cambria Math" panose="02040503050406030204" pitchFamily="18" charset="0"/>
                          </a:rPr>
                          <m:t> </m:t>
                        </m:r>
                        <m:r>
                          <a:rPr lang="en-US" sz="1100" b="0" i="1">
                            <a:latin typeface="Cambria Math" panose="02040503050406030204" pitchFamily="18" charset="0"/>
                          </a:rPr>
                          <m:t>𝐺𝑟𝑜𝑢</m:t>
                        </m:r>
                        <m:sSub>
                          <m:sSubPr>
                            <m:ctrlPr>
                              <a:rPr lang="en-US" sz="1100" b="0" i="1">
                                <a:latin typeface="Cambria Math" panose="02040503050406030204" pitchFamily="18" charset="0"/>
                              </a:rPr>
                            </m:ctrlPr>
                          </m:sSubPr>
                          <m:e>
                            <m:r>
                              <a:rPr lang="en-US" sz="1100" b="0" i="1">
                                <a:latin typeface="Cambria Math" panose="02040503050406030204" pitchFamily="18" charset="0"/>
                              </a:rPr>
                              <m:t>𝑝</m:t>
                            </m:r>
                          </m:e>
                          <m:sub>
                            <m:r>
                              <a:rPr lang="en-US" sz="1100" b="0" i="1">
                                <a:latin typeface="Cambria Math" panose="02040503050406030204" pitchFamily="18" charset="0"/>
                              </a:rPr>
                              <m:t>𝑖</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𝐶𝑅𝐿</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𝐼𝑛𝑑𝑒</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𝑥</m:t>
                            </m:r>
                          </m:e>
                          <m:sub>
                            <m:r>
                              <a:rPr lang="en-US" sz="1100" b="0" i="1">
                                <a:latin typeface="Cambria Math" panose="02040503050406030204" pitchFamily="18" charset="0"/>
                                <a:ea typeface="Cambria Math" panose="02040503050406030204" pitchFamily="18" charset="0"/>
                              </a:rPr>
                              <m:t>𝑖</m:t>
                            </m:r>
                          </m:sub>
                        </m:sSub>
                      </m:e>
                    </m:nary>
                  </m:oMath>
                </m:oMathPara>
              </a14:m>
              <a:endParaRPr lang="en-US" sz="1100"/>
            </a:p>
          </xdr:txBody>
        </xdr:sp>
      </mc:Choice>
      <mc:Fallback xmlns="">
        <xdr:sp macro="" textlink="">
          <xdr:nvSpPr>
            <xdr:cNvPr id="26" name="TextBox 25">
              <a:extLst>
                <a:ext uri="{FF2B5EF4-FFF2-40B4-BE49-F238E27FC236}">
                  <a16:creationId xmlns:a16="http://schemas.microsoft.com/office/drawing/2014/main" id="{EF5D5DC7-8739-3049-A641-B94C7CFBC98D}"/>
                </a:ext>
              </a:extLst>
            </xdr:cNvPr>
            <xdr:cNvSpPr txBox="1"/>
          </xdr:nvSpPr>
          <xdr:spPr>
            <a:xfrm>
              <a:off x="867833" y="14901334"/>
              <a:ext cx="421968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𝐴𝑣𝑒𝑟𝑎𝑔𝑒 𝐶𝑅𝐿 𝐼𝑛𝑑𝑒𝑥=∑</a:t>
              </a:r>
              <a:r>
                <a:rPr lang="en-US" sz="1100" b="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%𝐸𝑃 𝑖𝑛 𝑅𝑎𝑡𝑒 𝐿𝑒𝑣𝑒𝑙 𝐺𝑟𝑜𝑢𝑝_𝑖</a:t>
              </a:r>
              <a:r>
                <a:rPr lang="en-US" sz="1100" b="0" i="0">
                  <a:latin typeface="Cambria Math" panose="02040503050406030204" pitchFamily="18" charset="0"/>
                  <a:ea typeface="Cambria Math" panose="02040503050406030204" pitchFamily="18" charset="0"/>
                </a:rPr>
                <a:t>×𝐶𝑅𝐿 𝐼𝑛𝑑𝑒𝑥_𝑖 〗</a:t>
              </a:r>
              <a:endParaRPr lang="en-US" sz="1100"/>
            </a:p>
          </xdr:txBody>
        </xdr:sp>
      </mc:Fallback>
    </mc:AlternateContent>
    <xdr:clientData/>
  </xdr:oneCellAnchor>
  <xdr:oneCellAnchor>
    <xdr:from>
      <xdr:col>6</xdr:col>
      <xdr:colOff>518584</xdr:colOff>
      <xdr:row>77</xdr:row>
      <xdr:rowOff>137585</xdr:rowOff>
    </xdr:from>
    <xdr:ext cx="2554161" cy="443391"/>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4CF773A7-342B-184F-A998-E33E903B9376}"/>
                </a:ext>
              </a:extLst>
            </xdr:cNvPr>
            <xdr:cNvSpPr txBox="1"/>
          </xdr:nvSpPr>
          <xdr:spPr>
            <a:xfrm>
              <a:off x="5471584" y="14721418"/>
              <a:ext cx="2554161"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𝑂𝑛</m:t>
                    </m:r>
                    <m:r>
                      <m:rPr>
                        <m:nor/>
                      </m:rPr>
                      <a:rPr lang="en-US" sz="1100" b="0" i="0">
                        <a:latin typeface="Cambria Math" panose="02040503050406030204" pitchFamily="18" charset="0"/>
                      </a:rPr>
                      <m:t>−</m:t>
                    </m:r>
                    <m:r>
                      <a:rPr lang="en-US" sz="1100" b="0" i="1">
                        <a:latin typeface="Cambria Math" panose="02040503050406030204" pitchFamily="18" charset="0"/>
                      </a:rPr>
                      <m:t>𝐿𝑒𝑣𝑒𝑙</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𝐶𝑢𝑟𝑟𝑒𝑛𝑡</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𝐼𝑛𝑑𝑒𝑥</m:t>
                        </m:r>
                      </m:num>
                      <m:den>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𝐼𝑛𝑑𝑒𝑥</m:t>
                        </m:r>
                      </m:den>
                    </m:f>
                  </m:oMath>
                </m:oMathPara>
              </a14:m>
              <a:endParaRPr lang="en-US" sz="1100"/>
            </a:p>
          </xdr:txBody>
        </xdr:sp>
      </mc:Choice>
      <mc:Fallback xmlns="">
        <xdr:sp macro="" textlink="">
          <xdr:nvSpPr>
            <xdr:cNvPr id="27" name="TextBox 26">
              <a:extLst>
                <a:ext uri="{FF2B5EF4-FFF2-40B4-BE49-F238E27FC236}">
                  <a16:creationId xmlns:a16="http://schemas.microsoft.com/office/drawing/2014/main" id="{4CF773A7-342B-184F-A998-E33E903B9376}"/>
                </a:ext>
              </a:extLst>
            </xdr:cNvPr>
            <xdr:cNvSpPr txBox="1"/>
          </xdr:nvSpPr>
          <xdr:spPr>
            <a:xfrm>
              <a:off x="5471584" y="14721418"/>
              <a:ext cx="2554161"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𝑂𝑛"-" 𝐿𝑒𝑣𝑒𝑙 𝐹𝑎𝑐𝑡𝑜𝑟=(𝐶𝑢𝑟𝑟𝑒𝑛𝑡 𝐶𝑅𝐿 𝐼𝑛𝑑𝑒𝑥)/(𝐴𝑣𝑒𝑟𝑎𝑔𝑒 𝐶𝑅𝐿 𝐼𝑛𝑑𝑒𝑥)</a:t>
              </a:r>
              <a:endParaRPr lang="en-US" sz="1100"/>
            </a:p>
          </xdr:txBody>
        </xdr:sp>
      </mc:Fallback>
    </mc:AlternateContent>
    <xdr:clientData/>
  </xdr:oneCellAnchor>
  <xdr:oneCellAnchor>
    <xdr:from>
      <xdr:col>1</xdr:col>
      <xdr:colOff>264583</xdr:colOff>
      <xdr:row>111</xdr:row>
      <xdr:rowOff>84667</xdr:rowOff>
    </xdr:from>
    <xdr:ext cx="5942845" cy="264560"/>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48AAB87B-6C31-D94A-8965-07BF6260AED6}"/>
                </a:ext>
              </a:extLst>
            </xdr:cNvPr>
            <xdr:cNvSpPr txBox="1"/>
          </xdr:nvSpPr>
          <xdr:spPr>
            <a:xfrm>
              <a:off x="1090083" y="22510750"/>
              <a:ext cx="5942845"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𝑃𝑟𝑜𝑗𝑒𝑐𝑡𝑒𝑑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𝑇𝑟𝑒𝑛𝑑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𝑃𝑒𝑟𝑖𝑜𝑑</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𝐿𝑎𝑡𝑒𝑠𝑡</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𝐴𝑣𝑒𝑟𝑎𝑔𝑒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𝐷𝑎𝑡𝑒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𝑡𝑜</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𝐸𝑓𝑓𝑒𝑐𝑡𝑖𝑣𝑒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𝐴𝑣𝑒𝑟𝑎𝑔𝑒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𝐷𝑎𝑡𝑒</m:t>
                    </m:r>
                  </m:oMath>
                </m:oMathPara>
              </a14:m>
              <a:endParaRPr lang="en-US" sz="1100">
                <a:solidFill>
                  <a:schemeClr val="tx1"/>
                </a:solidFill>
              </a:endParaRPr>
            </a:p>
          </xdr:txBody>
        </xdr:sp>
      </mc:Choice>
      <mc:Fallback xmlns="">
        <xdr:sp macro="" textlink="">
          <xdr:nvSpPr>
            <xdr:cNvPr id="29" name="TextBox 28">
              <a:extLst>
                <a:ext uri="{FF2B5EF4-FFF2-40B4-BE49-F238E27FC236}">
                  <a16:creationId xmlns:a16="http://schemas.microsoft.com/office/drawing/2014/main" id="{48AAB87B-6C31-D94A-8965-07BF6260AED6}"/>
                </a:ext>
              </a:extLst>
            </xdr:cNvPr>
            <xdr:cNvSpPr txBox="1"/>
          </xdr:nvSpPr>
          <xdr:spPr>
            <a:xfrm>
              <a:off x="1090083" y="22510750"/>
              <a:ext cx="5942845"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𝑃𝑟𝑜𝑗𝑒𝑐𝑡𝑒𝑑 𝑇𝑟𝑒𝑛𝑑 𝑃𝑒𝑟𝑖𝑜𝑑=𝐿𝑎𝑡𝑒𝑠𝑡 𝐴𝑣𝑒𝑟𝑎𝑔𝑒 𝑊𝑟𝑖𝑡𝑡𝑒𝑛 𝐷𝑎𝑡𝑒 𝑡𝑜 𝐸𝑓𝑓𝑒𝑐𝑡𝑖𝑣𝑒 𝐴𝑣𝑒𝑟𝑎𝑔𝑒 𝑊𝑟𝑖𝑡𝑡𝑒𝑛 𝐷𝑎𝑡𝑒</a:t>
              </a:r>
              <a:endParaRPr lang="en-US" sz="1100">
                <a:solidFill>
                  <a:schemeClr val="tx1"/>
                </a:solidFill>
              </a:endParaRPr>
            </a:p>
          </xdr:txBody>
        </xdr:sp>
      </mc:Fallback>
    </mc:AlternateContent>
    <xdr:clientData/>
  </xdr:oneCellAnchor>
  <xdr:oneCellAnchor>
    <xdr:from>
      <xdr:col>1</xdr:col>
      <xdr:colOff>275167</xdr:colOff>
      <xdr:row>108</xdr:row>
      <xdr:rowOff>95251</xdr:rowOff>
    </xdr:from>
    <xdr:ext cx="3579763" cy="439992"/>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BD88E4B7-6673-984F-BEAF-4CF08FA148B8}"/>
                </a:ext>
              </a:extLst>
            </xdr:cNvPr>
            <xdr:cNvSpPr txBox="1"/>
          </xdr:nvSpPr>
          <xdr:spPr>
            <a:xfrm>
              <a:off x="1100667" y="21918084"/>
              <a:ext cx="3579763" cy="43999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𝐶𝑢𝑟𝑟𝑒𝑛𝑡</m:t>
                    </m:r>
                    <m:r>
                      <a:rPr lang="en-US" sz="1100" b="0" i="1">
                        <a:latin typeface="Cambria Math" panose="02040503050406030204" pitchFamily="18" charset="0"/>
                      </a:rPr>
                      <m:t> </m:t>
                    </m:r>
                    <m:r>
                      <a:rPr lang="en-US" sz="1100" b="0" i="1">
                        <a:latin typeface="Cambria Math" panose="02040503050406030204" pitchFamily="18" charset="0"/>
                      </a:rPr>
                      <m:t>𝑇𝑟𝑒𝑛𝑑</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𝐿𝑎𝑡𝑒𝑠𝑡</m:t>
                        </m:r>
                        <m:r>
                          <a:rPr lang="en-US" sz="1100" b="0" i="1">
                            <a:latin typeface="Cambria Math" panose="02040503050406030204" pitchFamily="18" charset="0"/>
                          </a:rPr>
                          <m:t> </m:t>
                        </m:r>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𝑊𝑃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num>
                      <m:den>
                        <m:r>
                          <a:rPr lang="en-US" sz="1100" b="0" i="1">
                            <a:latin typeface="Cambria Math" panose="02040503050406030204" pitchFamily="18" charset="0"/>
                          </a:rPr>
                          <m:t>𝐻𝑖𝑠𝑡𝑜𝑟𝑖𝑐𝑎𝑙</m:t>
                        </m:r>
                        <m:r>
                          <a:rPr lang="en-US" sz="1100" b="0" i="1">
                            <a:latin typeface="Cambria Math" panose="02040503050406030204" pitchFamily="18" charset="0"/>
                          </a:rPr>
                          <m:t> </m:t>
                        </m:r>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𝐸𝑃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den>
                    </m:f>
                  </m:oMath>
                </m:oMathPara>
              </a14:m>
              <a:endParaRPr lang="en-US" sz="1100"/>
            </a:p>
          </xdr:txBody>
        </xdr:sp>
      </mc:Choice>
      <mc:Fallback xmlns="">
        <xdr:sp macro="" textlink="">
          <xdr:nvSpPr>
            <xdr:cNvPr id="30" name="TextBox 29">
              <a:extLst>
                <a:ext uri="{FF2B5EF4-FFF2-40B4-BE49-F238E27FC236}">
                  <a16:creationId xmlns:a16="http://schemas.microsoft.com/office/drawing/2014/main" id="{BD88E4B7-6673-984F-BEAF-4CF08FA148B8}"/>
                </a:ext>
              </a:extLst>
            </xdr:cNvPr>
            <xdr:cNvSpPr txBox="1"/>
          </xdr:nvSpPr>
          <xdr:spPr>
            <a:xfrm>
              <a:off x="1100667" y="21918084"/>
              <a:ext cx="3579763" cy="43999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𝐶𝑢𝑟𝑟𝑒𝑛𝑡 𝑇𝑟𝑒𝑛𝑑 𝐹𝑎𝑐𝑡𝑜𝑟=(𝐿𝑎𝑡𝑒𝑠𝑡 𝐴𝑣𝑒𝑟𝑎𝑔𝑒 𝑊𝑃 𝑎𝑡 𝐶𝑅𝐿)/(𝐻𝑖𝑠𝑡𝑜𝑟𝑖𝑐𝑎𝑙 𝐴𝑣𝑒𝑟𝑎𝑔𝑒 𝐸𝑃 𝑎𝑡 𝐶𝑅𝐿)</a:t>
              </a:r>
              <a:endParaRPr lang="en-US" sz="1100"/>
            </a:p>
          </xdr:txBody>
        </xdr:sp>
      </mc:Fallback>
    </mc:AlternateContent>
    <xdr:clientData/>
  </xdr:oneCellAnchor>
  <xdr:oneCellAnchor>
    <xdr:from>
      <xdr:col>2</xdr:col>
      <xdr:colOff>338668</xdr:colOff>
      <xdr:row>132</xdr:row>
      <xdr:rowOff>42336</xdr:rowOff>
    </xdr:from>
    <xdr:ext cx="5292987" cy="264560"/>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a16="http://schemas.microsoft.com/office/drawing/2014/main" id="{68728C8D-2A0B-454A-9731-8F3EF12E66C9}"/>
                </a:ext>
              </a:extLst>
            </xdr:cNvPr>
            <xdr:cNvSpPr txBox="1"/>
          </xdr:nvSpPr>
          <xdr:spPr>
            <a:xfrm>
              <a:off x="1989668" y="26691169"/>
              <a:ext cx="529298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𝑃𝑟𝑜𝑗𝑒𝑐𝑡𝑒𝑑</m:t>
                    </m:r>
                    <m:r>
                      <a:rPr lang="en-US" sz="1100" b="0" i="1">
                        <a:latin typeface="Cambria Math" panose="02040503050406030204" pitchFamily="18" charset="0"/>
                      </a:rPr>
                      <m:t> </m:t>
                    </m:r>
                    <m:r>
                      <a:rPr lang="en-US" sz="1100" b="0" i="1">
                        <a:latin typeface="Cambria Math" panose="02040503050406030204" pitchFamily="18" charset="0"/>
                      </a:rPr>
                      <m:t>𝐸𝑃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m:t>
                    </m:r>
                    <m:r>
                      <a:rPr lang="en-US" sz="1100" b="0" i="1">
                        <a:latin typeface="Cambria Math" panose="02040503050406030204" pitchFamily="18" charset="0"/>
                      </a:rPr>
                      <m:t>𝐸𝑃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𝐶𝑢𝑟𝑟𝑒𝑛𝑡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𝑇𝑟𝑒𝑛𝑑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𝑃𝑟𝑜𝑗𝑒𝑐𝑡𝑒𝑑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𝑇𝑟𝑒𝑛𝑑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oMath>
                </m:oMathPara>
              </a14:m>
              <a:endParaRPr lang="en-US" sz="1100"/>
            </a:p>
          </xdr:txBody>
        </xdr:sp>
      </mc:Choice>
      <mc:Fallback xmlns="">
        <xdr:sp macro="" textlink="">
          <xdr:nvSpPr>
            <xdr:cNvPr id="33" name="TextBox 32">
              <a:extLst>
                <a:ext uri="{FF2B5EF4-FFF2-40B4-BE49-F238E27FC236}">
                  <a16:creationId xmlns:a16="http://schemas.microsoft.com/office/drawing/2014/main" id="{68728C8D-2A0B-454A-9731-8F3EF12E66C9}"/>
                </a:ext>
              </a:extLst>
            </xdr:cNvPr>
            <xdr:cNvSpPr txBox="1"/>
          </xdr:nvSpPr>
          <xdr:spPr>
            <a:xfrm>
              <a:off x="1989668" y="26691169"/>
              <a:ext cx="529298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𝑃𝑟𝑜𝑗𝑒𝑐𝑡𝑒𝑑 𝐸𝑃 𝑎𝑡 𝐶𝑅𝐿=𝐸𝑃 𝑎𝑡 𝐶𝑅𝐿</a:t>
              </a:r>
              <a:r>
                <a:rPr lang="en-US" sz="1100" b="0" i="0">
                  <a:latin typeface="Cambria Math" panose="02040503050406030204" pitchFamily="18" charset="0"/>
                  <a:ea typeface="Cambria Math" panose="02040503050406030204" pitchFamily="18" charset="0"/>
                </a:rPr>
                <a:t>×𝐶𝑢𝑟𝑟𝑒𝑛𝑡 𝑇𝑟𝑒𝑛𝑑 𝐹𝑎𝑐𝑡𝑜𝑟×𝑃𝑟𝑜𝑗𝑒𝑐𝑡𝑒𝑑 𝑇𝑟𝑒𝑛𝑑 𝐹𝑎𝑐𝑡𝑜𝑟</a:t>
              </a:r>
              <a:endParaRPr lang="en-US" sz="1100"/>
            </a:p>
          </xdr:txBody>
        </xdr:sp>
      </mc:Fallback>
    </mc:AlternateContent>
    <xdr:clientData/>
  </xdr:oneCellAnchor>
  <xdr:oneCellAnchor>
    <xdr:from>
      <xdr:col>1</xdr:col>
      <xdr:colOff>127001</xdr:colOff>
      <xdr:row>72</xdr:row>
      <xdr:rowOff>201083</xdr:rowOff>
    </xdr:from>
    <xdr:ext cx="3415550" cy="892424"/>
    <mc:AlternateContent xmlns:mc="http://schemas.openxmlformats.org/markup-compatibility/2006" xmlns:a14="http://schemas.microsoft.com/office/drawing/2010/main">
      <mc:Choice Requires="a14">
        <xdr:sp macro="" textlink="">
          <xdr:nvSpPr>
            <xdr:cNvPr id="36" name="TextBox 35">
              <a:extLst>
                <a:ext uri="{FF2B5EF4-FFF2-40B4-BE49-F238E27FC236}">
                  <a16:creationId xmlns:a16="http://schemas.microsoft.com/office/drawing/2014/main" id="{6AD8327B-B941-1E41-9B0C-4C10529BDF78}"/>
                </a:ext>
              </a:extLst>
            </xdr:cNvPr>
            <xdr:cNvSpPr txBox="1"/>
          </xdr:nvSpPr>
          <xdr:spPr>
            <a:xfrm>
              <a:off x="952501" y="14784916"/>
              <a:ext cx="3415550" cy="8924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lgn="l"/>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𝐴𝑟𝑒𝑎</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𝑎</m:t>
                    </m:r>
                    <m:r>
                      <a:rPr lang="en-US" sz="1100" b="0" i="1">
                        <a:latin typeface="Cambria Math" panose="02040503050406030204" pitchFamily="18" charset="0"/>
                      </a:rPr>
                      <m:t> </m:t>
                    </m:r>
                    <m:r>
                      <a:rPr lang="en-US" sz="1100" b="0" i="1">
                        <a:latin typeface="Cambria Math" panose="02040503050406030204" pitchFamily="18" charset="0"/>
                      </a:rPr>
                      <m:t>𝑡𝑟𝑖𝑎𝑛𝑔𝑙𝑒</m:t>
                    </m:r>
                    <m:r>
                      <a:rPr lang="en-US" sz="1100" b="0" i="1">
                        <a:latin typeface="Cambria Math" panose="02040503050406030204" pitchFamily="18" charset="0"/>
                      </a:rPr>
                      <m:t>=</m:t>
                    </m:r>
                    <m:f>
                      <m:fPr>
                        <m:type m:val="skw"/>
                        <m:ctrlPr>
                          <a:rPr lang="en-US" sz="1100" b="0" i="1">
                            <a:latin typeface="Cambria Math" panose="02040503050406030204" pitchFamily="18" charset="0"/>
                          </a:rPr>
                        </m:ctrlPr>
                      </m:fPr>
                      <m:num>
                        <m:r>
                          <a:rPr lang="en-US" sz="1100" b="0" i="1">
                            <a:latin typeface="Cambria Math" panose="02040503050406030204" pitchFamily="18" charset="0"/>
                          </a:rPr>
                          <m:t>1</m:t>
                        </m:r>
                      </m:num>
                      <m:den>
                        <m:r>
                          <a:rPr lang="en-US" sz="1100" b="0" i="1">
                            <a:latin typeface="Cambria Math" panose="02040503050406030204" pitchFamily="18" charset="0"/>
                          </a:rPr>
                          <m:t>2</m:t>
                        </m:r>
                      </m:den>
                    </m:f>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𝑏𝑎𝑠𝑒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h𝑒𝑖𝑔h𝑡</m:t>
                    </m:r>
                  </m:oMath>
                </m:oMathPara>
              </a14:m>
              <a:endParaRPr lang="en-US" sz="1100" b="0">
                <a:ea typeface="Cambria Math" panose="02040503050406030204" pitchFamily="18" charset="0"/>
              </a:endParaRPr>
            </a:p>
            <a:p>
              <a:pPr algn="l"/>
              <a:endParaRPr lang="en-US" sz="600" b="0">
                <a:ea typeface="Cambria Math" panose="020405030504060302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𝐴𝑟𝑒𝑎</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𝑎</m:t>
                    </m:r>
                    <m:r>
                      <a:rPr lang="en-US" sz="1100" b="0" i="1">
                        <a:latin typeface="Cambria Math" panose="02040503050406030204" pitchFamily="18" charset="0"/>
                      </a:rPr>
                      <m:t> </m:t>
                    </m:r>
                    <m:r>
                      <a:rPr lang="en-US" sz="1100" b="0" i="1">
                        <a:latin typeface="Cambria Math" panose="02040503050406030204" pitchFamily="18" charset="0"/>
                      </a:rPr>
                      <m:t>𝑝𝑎𝑟𝑎𝑙𝑙𝑒𝑙𝑜𝑔𝑟𝑎𝑚</m:t>
                    </m:r>
                    <m:r>
                      <a:rPr lang="en-US" sz="1100" b="0" i="1">
                        <a:latin typeface="Cambria Math" panose="02040503050406030204" pitchFamily="18" charset="0"/>
                      </a:rPr>
                      <m:t>=</m:t>
                    </m:r>
                    <m:r>
                      <a:rPr lang="en-US" sz="1100" b="0" i="1">
                        <a:latin typeface="Cambria Math" panose="02040503050406030204" pitchFamily="18" charset="0"/>
                        <a:ea typeface="Cambria Math" panose="02040503050406030204" pitchFamily="18" charset="0"/>
                      </a:rPr>
                      <m:t>𝑏𝑎𝑠𝑒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h𝑒𝑖𝑔h𝑡</m:t>
                    </m:r>
                  </m:oMath>
                </m:oMathPara>
              </a14:m>
              <a:endParaRPr lang="en-US" sz="1100"/>
            </a:p>
            <a:p>
              <a:pPr marL="0" marR="0" lvl="0" indent="0" algn="l" defTabSz="914400" eaLnBrk="1" fontAlgn="auto" latinLnBrk="0" hangingPunct="1">
                <a:lnSpc>
                  <a:spcPct val="100000"/>
                </a:lnSpc>
                <a:spcBef>
                  <a:spcPts val="0"/>
                </a:spcBef>
                <a:spcAft>
                  <a:spcPts val="0"/>
                </a:spcAft>
                <a:buClrTx/>
                <a:buSzTx/>
                <a:buFontTx/>
                <a:buNone/>
                <a:tabLst/>
                <a:defRPr/>
              </a:pPr>
              <a:endParaRPr lang="en-US" sz="600"/>
            </a:p>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𝐴𝑟𝑒𝑎</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𝑎</m:t>
                    </m:r>
                    <m:r>
                      <a:rPr lang="en-US" sz="1100" b="0" i="1">
                        <a:latin typeface="Cambria Math" panose="02040503050406030204" pitchFamily="18" charset="0"/>
                      </a:rPr>
                      <m:t> </m:t>
                    </m:r>
                    <m:r>
                      <a:rPr lang="en-US" sz="1100" b="0" i="1">
                        <a:latin typeface="Cambria Math" panose="02040503050406030204" pitchFamily="18" charset="0"/>
                      </a:rPr>
                      <m:t>𝑡𝑟𝑎𝑝𝑒𝑧𝑜𝑖𝑑</m:t>
                    </m:r>
                    <m:r>
                      <a:rPr lang="en-US" sz="1100" b="0" i="1">
                        <a:latin typeface="Cambria Math" panose="02040503050406030204" pitchFamily="18" charset="0"/>
                      </a:rPr>
                      <m:t>=</m:t>
                    </m:r>
                    <m:f>
                      <m:fPr>
                        <m:type m:val="skw"/>
                        <m:ctrlPr>
                          <a:rPr lang="en-US" sz="1100" b="0" i="1">
                            <a:latin typeface="Cambria Math" panose="02040503050406030204" pitchFamily="18" charset="0"/>
                          </a:rPr>
                        </m:ctrlPr>
                      </m:fPr>
                      <m:num>
                        <m:r>
                          <a:rPr lang="en-US" sz="1100" b="0" i="1">
                            <a:latin typeface="Cambria Math" panose="02040503050406030204" pitchFamily="18" charset="0"/>
                          </a:rPr>
                          <m:t>1</m:t>
                        </m:r>
                      </m:num>
                      <m:den>
                        <m:r>
                          <a:rPr lang="en-US" sz="1100" b="0" i="1">
                            <a:latin typeface="Cambria Math" panose="02040503050406030204" pitchFamily="18" charset="0"/>
                          </a:rPr>
                          <m:t>2</m:t>
                        </m:r>
                      </m:den>
                    </m:f>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𝑏𝑎𝑠</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𝑒</m:t>
                            </m:r>
                          </m:e>
                          <m:sub>
                            <m:r>
                              <a:rPr lang="en-US" sz="1100" b="0" i="1">
                                <a:latin typeface="Cambria Math" panose="02040503050406030204" pitchFamily="18" charset="0"/>
                                <a:ea typeface="Cambria Math" panose="02040503050406030204" pitchFamily="18" charset="0"/>
                              </a:rPr>
                              <m:t>1</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𝑏𝑎𝑠</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𝑒</m:t>
                            </m:r>
                          </m:e>
                          <m:sub>
                            <m:r>
                              <a:rPr lang="en-US" sz="1100" b="0" i="1">
                                <a:latin typeface="Cambria Math" panose="02040503050406030204" pitchFamily="18" charset="0"/>
                                <a:ea typeface="Cambria Math" panose="02040503050406030204" pitchFamily="18" charset="0"/>
                              </a:rPr>
                              <m:t>2</m:t>
                            </m:r>
                          </m:sub>
                        </m:sSub>
                      </m:e>
                    </m:d>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h𝑒𝑖𝑔h𝑡</m:t>
                    </m:r>
                  </m:oMath>
                </m:oMathPara>
              </a14:m>
              <a:endParaRPr lang="en-US" sz="1100"/>
            </a:p>
          </xdr:txBody>
        </xdr:sp>
      </mc:Choice>
      <mc:Fallback xmlns="">
        <xdr:sp macro="" textlink="">
          <xdr:nvSpPr>
            <xdr:cNvPr id="36" name="TextBox 35">
              <a:extLst>
                <a:ext uri="{FF2B5EF4-FFF2-40B4-BE49-F238E27FC236}">
                  <a16:creationId xmlns:a16="http://schemas.microsoft.com/office/drawing/2014/main" id="{6AD8327B-B941-1E41-9B0C-4C10529BDF78}"/>
                </a:ext>
              </a:extLst>
            </xdr:cNvPr>
            <xdr:cNvSpPr txBox="1"/>
          </xdr:nvSpPr>
          <xdr:spPr>
            <a:xfrm>
              <a:off x="952501" y="14784916"/>
              <a:ext cx="3415550" cy="8924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lgn="l"/>
              <a:r>
                <a:rPr lang="en-US" sz="1100" b="0" i="0">
                  <a:latin typeface="Cambria Math" panose="02040503050406030204" pitchFamily="18" charset="0"/>
                </a:rPr>
                <a:t>𝐴𝑟𝑒𝑎 𝑜𝑓 𝑎 𝑡𝑟𝑖𝑎𝑛𝑔𝑙𝑒=1⁄2</a:t>
              </a:r>
              <a:r>
                <a:rPr lang="en-US" sz="1100" b="0" i="0">
                  <a:latin typeface="Cambria Math" panose="02040503050406030204" pitchFamily="18" charset="0"/>
                  <a:ea typeface="Cambria Math" panose="02040503050406030204" pitchFamily="18" charset="0"/>
                </a:rPr>
                <a:t>×𝑏𝑎𝑠𝑒×ℎ𝑒𝑖𝑔ℎ𝑡</a:t>
              </a:r>
              <a:endParaRPr lang="en-US" sz="1100" b="0">
                <a:ea typeface="Cambria Math" panose="02040503050406030204" pitchFamily="18" charset="0"/>
              </a:endParaRPr>
            </a:p>
            <a:p>
              <a:pPr algn="l"/>
              <a:endParaRPr lang="en-US" sz="600" b="0">
                <a:ea typeface="Cambria Math" panose="020405030504060302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a:latin typeface="Cambria Math" panose="02040503050406030204" pitchFamily="18" charset="0"/>
                </a:rPr>
                <a:t>𝐴𝑟𝑒𝑎 𝑜𝑓 𝑎 𝑝𝑎𝑟𝑎𝑙𝑙𝑒𝑙𝑜𝑔𝑟𝑎𝑚=</a:t>
              </a:r>
              <a:r>
                <a:rPr lang="en-US" sz="1100" b="0" i="0">
                  <a:latin typeface="Cambria Math" panose="02040503050406030204" pitchFamily="18" charset="0"/>
                  <a:ea typeface="Cambria Math" panose="02040503050406030204" pitchFamily="18" charset="0"/>
                </a:rPr>
                <a:t>𝑏𝑎𝑠𝑒×ℎ𝑒𝑖𝑔ℎ𝑡</a:t>
              </a:r>
              <a:endParaRPr lang="en-US" sz="1100"/>
            </a:p>
            <a:p>
              <a:pPr marL="0" marR="0" lvl="0" indent="0" algn="l" defTabSz="914400" eaLnBrk="1" fontAlgn="auto" latinLnBrk="0" hangingPunct="1">
                <a:lnSpc>
                  <a:spcPct val="100000"/>
                </a:lnSpc>
                <a:spcBef>
                  <a:spcPts val="0"/>
                </a:spcBef>
                <a:spcAft>
                  <a:spcPts val="0"/>
                </a:spcAft>
                <a:buClrTx/>
                <a:buSzTx/>
                <a:buFontTx/>
                <a:buNone/>
                <a:tabLst/>
                <a:defRPr/>
              </a:pPr>
              <a:endParaRPr lang="en-US" sz="600"/>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a:latin typeface="Cambria Math" panose="02040503050406030204" pitchFamily="18" charset="0"/>
                </a:rPr>
                <a:t>𝐴𝑟𝑒𝑎 𝑜𝑓 𝑎 𝑡𝑟𝑎𝑝𝑒𝑧𝑜𝑖𝑑=1⁄2</a:t>
              </a:r>
              <a:r>
                <a:rPr lang="en-US" sz="1100" b="0" i="0">
                  <a:latin typeface="Cambria Math" panose="02040503050406030204" pitchFamily="18" charset="0"/>
                  <a:ea typeface="Cambria Math" panose="02040503050406030204" pitchFamily="18" charset="0"/>
                </a:rPr>
                <a:t>×(𝑏𝑎𝑠𝑒_1+𝑏𝑎𝑠𝑒_2 )×ℎ𝑒𝑖𝑔ℎ𝑡</a:t>
              </a:r>
              <a:endParaRPr lang="en-US" sz="1100"/>
            </a:p>
          </xdr:txBody>
        </xdr:sp>
      </mc:Fallback>
    </mc:AlternateContent>
    <xdr:clientData/>
  </xdr:oneCellAnchor>
  <xdr:oneCellAnchor>
    <xdr:from>
      <xdr:col>1</xdr:col>
      <xdr:colOff>211666</xdr:colOff>
      <xdr:row>161</xdr:row>
      <xdr:rowOff>158750</xdr:rowOff>
    </xdr:from>
    <xdr:ext cx="5630333" cy="270395"/>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14E6D390-E940-EE4D-9A03-5DDA2D97C5A0}"/>
                </a:ext>
              </a:extLst>
            </xdr:cNvPr>
            <xdr:cNvSpPr txBox="1"/>
          </xdr:nvSpPr>
          <xdr:spPr>
            <a:xfrm>
              <a:off x="1037166" y="32437917"/>
              <a:ext cx="5630333" cy="27039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2</m:t>
                    </m:r>
                    <m:r>
                      <m:rPr>
                        <m:nor/>
                      </m:rPr>
                      <a:rPr lang="en-US" sz="1100" b="0" i="0">
                        <a:latin typeface="Cambria Math" panose="02040503050406030204" pitchFamily="18" charset="0"/>
                      </a:rPr>
                      <m:t>−</m:t>
                    </m:r>
                    <m:r>
                      <a:rPr lang="en-US" sz="1100" b="0" i="1">
                        <a:latin typeface="Cambria Math" panose="02040503050406030204" pitchFamily="18" charset="0"/>
                      </a:rPr>
                      <m:t>𝑆𝑡𝑒𝑝</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 </m:t>
                    </m:r>
                    <m:r>
                      <a:rPr lang="en-US" sz="1100" b="0" i="1">
                        <a:latin typeface="Cambria Math" panose="02040503050406030204" pitchFamily="18" charset="0"/>
                      </a:rPr>
                      <m:t>𝑇𝑟𝑒𝑛𝑑</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sSup>
                      <m:sSupPr>
                        <m:ctrlPr>
                          <a:rPr lang="en-US" sz="1100" b="0" i="1">
                            <a:latin typeface="Cambria Math" panose="02040503050406030204" pitchFamily="18" charset="0"/>
                          </a:rPr>
                        </m:ctrlPr>
                      </m:sSupPr>
                      <m:e>
                        <m:d>
                          <m:dPr>
                            <m:ctrlPr>
                              <a:rPr lang="en-US" sz="1100" b="0" i="1">
                                <a:latin typeface="Cambria Math" panose="02040503050406030204" pitchFamily="18" charset="0"/>
                              </a:rPr>
                            </m:ctrlPr>
                          </m:dPr>
                          <m:e>
                            <m:r>
                              <a:rPr lang="en-US" sz="1100" b="0" i="1">
                                <a:latin typeface="Cambria Math" panose="02040503050406030204" pitchFamily="18" charset="0"/>
                              </a:rPr>
                              <m:t>1+</m:t>
                            </m:r>
                            <m:r>
                              <a:rPr lang="en-US" sz="1100" b="0" i="1">
                                <a:latin typeface="Cambria Math" panose="02040503050406030204" pitchFamily="18" charset="0"/>
                              </a:rPr>
                              <m:t>𝐶𝑢𝑟𝑟𝑒𝑛𝑡</m:t>
                            </m:r>
                            <m:r>
                              <a:rPr lang="en-US" sz="1100" b="0" i="1">
                                <a:latin typeface="Cambria Math" panose="02040503050406030204" pitchFamily="18" charset="0"/>
                              </a:rPr>
                              <m:t> </m:t>
                            </m:r>
                            <m:r>
                              <a:rPr lang="en-US" sz="1100" b="0" i="1">
                                <a:latin typeface="Cambria Math" panose="02040503050406030204" pitchFamily="18" charset="0"/>
                              </a:rPr>
                              <m:t>𝑇𝑟𝑒𝑛𝑑</m:t>
                            </m:r>
                          </m:e>
                        </m:d>
                      </m:e>
                      <m:sup>
                        <m:sSub>
                          <m:sSubPr>
                            <m:ctrlPr>
                              <a:rPr lang="en-US" sz="1100" b="0" i="1">
                                <a:latin typeface="Cambria Math" panose="02040503050406030204" pitchFamily="18" charset="0"/>
                              </a:rPr>
                            </m:ctrlPr>
                          </m:sSubPr>
                          <m:e>
                            <m:r>
                              <a:rPr lang="en-US" sz="1100" b="0" i="1">
                                <a:latin typeface="Cambria Math" panose="02040503050406030204" pitchFamily="18" charset="0"/>
                              </a:rPr>
                              <m:t>𝑡</m:t>
                            </m:r>
                          </m:e>
                          <m:sub>
                            <m:r>
                              <a:rPr lang="en-US" sz="1100" b="0" i="1">
                                <a:latin typeface="Cambria Math" panose="02040503050406030204" pitchFamily="18" charset="0"/>
                              </a:rPr>
                              <m:t>𝑐𝑢𝑟𝑟𝑒𝑛𝑡</m:t>
                            </m:r>
                          </m:sub>
                        </m:sSub>
                      </m:sup>
                    </m:sSup>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rPr>
                        </m:ctrlPr>
                      </m:sSupPr>
                      <m:e>
                        <m:d>
                          <m:dPr>
                            <m:ctrlPr>
                              <a:rPr lang="en-US" sz="1100" b="0" i="1">
                                <a:latin typeface="Cambria Math" panose="02040503050406030204" pitchFamily="18" charset="0"/>
                              </a:rPr>
                            </m:ctrlPr>
                          </m:dPr>
                          <m:e>
                            <m:r>
                              <a:rPr lang="en-US" sz="1100" b="0" i="1">
                                <a:latin typeface="Cambria Math" panose="02040503050406030204" pitchFamily="18" charset="0"/>
                              </a:rPr>
                              <m:t>1+</m:t>
                            </m:r>
                            <m:r>
                              <a:rPr lang="en-US" sz="1100" b="0" i="1">
                                <a:latin typeface="Cambria Math" panose="02040503050406030204" pitchFamily="18" charset="0"/>
                              </a:rPr>
                              <m:t>𝑃𝑟𝑜𝑗𝑒𝑐𝑡𝑒𝑑</m:t>
                            </m:r>
                            <m:r>
                              <a:rPr lang="en-US" sz="1100" b="0" i="1">
                                <a:latin typeface="Cambria Math" panose="02040503050406030204" pitchFamily="18" charset="0"/>
                              </a:rPr>
                              <m:t> </m:t>
                            </m:r>
                            <m:r>
                              <a:rPr lang="en-US" sz="1100" b="0" i="1">
                                <a:latin typeface="Cambria Math" panose="02040503050406030204" pitchFamily="18" charset="0"/>
                              </a:rPr>
                              <m:t>𝑇𝑟𝑒𝑛𝑑</m:t>
                            </m:r>
                          </m:e>
                        </m:d>
                      </m:e>
                      <m:sup>
                        <m:sSub>
                          <m:sSubPr>
                            <m:ctrlPr>
                              <a:rPr lang="en-US" sz="1100" b="0" i="1">
                                <a:latin typeface="Cambria Math" panose="02040503050406030204" pitchFamily="18" charset="0"/>
                              </a:rPr>
                            </m:ctrlPr>
                          </m:sSubPr>
                          <m:e>
                            <m:r>
                              <a:rPr lang="en-US" sz="1100" b="0" i="1">
                                <a:latin typeface="Cambria Math" panose="02040503050406030204" pitchFamily="18" charset="0"/>
                              </a:rPr>
                              <m:t>𝑡</m:t>
                            </m:r>
                          </m:e>
                          <m:sub>
                            <m:r>
                              <a:rPr lang="en-US" sz="1100" b="0" i="1">
                                <a:latin typeface="Cambria Math" panose="02040503050406030204" pitchFamily="18" charset="0"/>
                              </a:rPr>
                              <m:t>𝑝𝑟𝑜𝑗𝑒𝑐𝑡𝑒𝑑</m:t>
                            </m:r>
                          </m:sub>
                        </m:sSub>
                      </m:sup>
                    </m:sSup>
                  </m:oMath>
                </m:oMathPara>
              </a14:m>
              <a:endParaRPr lang="en-US" sz="1100"/>
            </a:p>
          </xdr:txBody>
        </xdr:sp>
      </mc:Choice>
      <mc:Fallback xmlns="">
        <xdr:sp macro="" textlink="">
          <xdr:nvSpPr>
            <xdr:cNvPr id="39" name="TextBox 38">
              <a:extLst>
                <a:ext uri="{FF2B5EF4-FFF2-40B4-BE49-F238E27FC236}">
                  <a16:creationId xmlns:a16="http://schemas.microsoft.com/office/drawing/2014/main" id="{14E6D390-E940-EE4D-9A03-5DDA2D97C5A0}"/>
                </a:ext>
              </a:extLst>
            </xdr:cNvPr>
            <xdr:cNvSpPr txBox="1"/>
          </xdr:nvSpPr>
          <xdr:spPr>
            <a:xfrm>
              <a:off x="1037166" y="32437917"/>
              <a:ext cx="5630333" cy="27039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r>
                <a:rPr lang="en-US" sz="1100" b="0" i="0">
                  <a:latin typeface="Cambria Math" panose="02040503050406030204" pitchFamily="18" charset="0"/>
                </a:rPr>
                <a:t>2"-" 𝑆𝑡𝑒𝑝 𝐿𝑜𝑠𝑠 𝑇𝑟𝑒𝑛𝑑 𝐹𝑎𝑐𝑡𝑜𝑟=(1+𝐶𝑢𝑟𝑟𝑒𝑛𝑡 𝑇𝑟𝑒𝑛𝑑)^(𝑡_𝑐𝑢𝑟𝑟𝑒𝑛𝑡 )</a:t>
              </a:r>
              <a:r>
                <a:rPr lang="en-US" sz="1100" b="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(1+𝑃𝑟𝑜𝑗𝑒𝑐𝑡𝑒𝑑 𝑇𝑟𝑒𝑛𝑑)^(𝑡_𝑝𝑟𝑜𝑗𝑒𝑐𝑡𝑒𝑑 )</a:t>
              </a:r>
              <a:endParaRPr lang="en-US" sz="1100"/>
            </a:p>
          </xdr:txBody>
        </xdr:sp>
      </mc:Fallback>
    </mc:AlternateContent>
    <xdr:clientData/>
  </xdr:oneCellAnchor>
  <xdr:oneCellAnchor>
    <xdr:from>
      <xdr:col>1</xdr:col>
      <xdr:colOff>211667</xdr:colOff>
      <xdr:row>173</xdr:row>
      <xdr:rowOff>179917</xdr:rowOff>
    </xdr:from>
    <xdr:ext cx="6226448" cy="264560"/>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7AB0780A-515A-C942-A1F1-DC62D208530A}"/>
                </a:ext>
              </a:extLst>
            </xdr:cNvPr>
            <xdr:cNvSpPr txBox="1"/>
          </xdr:nvSpPr>
          <xdr:spPr>
            <a:xfrm>
              <a:off x="1037167" y="31777517"/>
              <a:ext cx="6226448"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𝑃𝑟𝑜𝑗𝑒𝑐𝑡𝑒𝑑</m:t>
                    </m:r>
                    <m:r>
                      <a:rPr lang="en-US" sz="1100" b="0" i="1">
                        <a:latin typeface="Cambria Math" panose="02040503050406030204" pitchFamily="18" charset="0"/>
                      </a:rPr>
                      <m:t> </m:t>
                    </m:r>
                    <m:r>
                      <a:rPr lang="en-US" sz="1100" b="0" i="1">
                        <a:latin typeface="Cambria Math" panose="02040503050406030204" pitchFamily="18" charset="0"/>
                      </a:rPr>
                      <m:t>𝑈𝑙𝑡𝑖𝑚𝑎𝑡𝑒</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 &amp; </m:t>
                    </m:r>
                    <m:r>
                      <a:rPr lang="en-US" sz="1100" b="0" i="1">
                        <a:latin typeface="Cambria Math" panose="02040503050406030204" pitchFamily="18" charset="0"/>
                      </a:rPr>
                      <m:t>𝐿𝐴𝐸</m:t>
                    </m:r>
                    <m:r>
                      <a:rPr lang="en-US" sz="1100" b="0" i="1">
                        <a:latin typeface="Cambria Math" panose="02040503050406030204" pitchFamily="18" charset="0"/>
                      </a:rPr>
                      <m:t>=</m:t>
                    </m:r>
                    <m:r>
                      <a:rPr lang="en-US" sz="1100" b="0" i="1">
                        <a:latin typeface="Cambria Math" panose="02040503050406030204" pitchFamily="18" charset="0"/>
                      </a:rPr>
                      <m:t>𝑅𝑒𝑝𝑜𝑟𝑡𝑒𝑑</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 &amp; </m:t>
                    </m:r>
                    <m:r>
                      <a:rPr lang="en-US" sz="1100" b="0" i="1">
                        <a:latin typeface="Cambria Math" panose="02040503050406030204" pitchFamily="18" charset="0"/>
                      </a:rPr>
                      <m:t>𝐴𝐿𝐴𝐸</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𝐶𝐷𝐹</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𝐿𝑜𝑠𝑠</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𝑇𝑟𝑒𝑛𝑑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𝑈𝐿𝐴𝐸</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oMath>
                </m:oMathPara>
              </a14:m>
              <a:endParaRPr lang="en-US" sz="1100"/>
            </a:p>
          </xdr:txBody>
        </xdr:sp>
      </mc:Choice>
      <mc:Fallback xmlns="">
        <xdr:sp macro="" textlink="">
          <xdr:nvSpPr>
            <xdr:cNvPr id="40" name="TextBox 39">
              <a:extLst>
                <a:ext uri="{FF2B5EF4-FFF2-40B4-BE49-F238E27FC236}">
                  <a16:creationId xmlns:a16="http://schemas.microsoft.com/office/drawing/2014/main" id="{7AB0780A-515A-C942-A1F1-DC62D208530A}"/>
                </a:ext>
              </a:extLst>
            </xdr:cNvPr>
            <xdr:cNvSpPr txBox="1"/>
          </xdr:nvSpPr>
          <xdr:spPr>
            <a:xfrm>
              <a:off x="1037167" y="31777517"/>
              <a:ext cx="6226448"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𝑃𝑟𝑜𝑗𝑒𝑐𝑡𝑒𝑑 𝑈𝑙𝑡𝑖𝑚𝑎𝑡𝑒 𝐿𝑜𝑠𝑠 &amp; 𝐿𝐴𝐸=𝑅𝑒𝑝𝑜𝑟𝑡𝑒𝑑 𝐿𝑜𝑠𝑠 &amp; 𝐴𝐿𝐴𝐸</a:t>
              </a:r>
              <a:r>
                <a:rPr lang="en-US" sz="1100" b="0" i="0">
                  <a:latin typeface="Cambria Math" panose="02040503050406030204" pitchFamily="18" charset="0"/>
                  <a:ea typeface="Cambria Math" panose="02040503050406030204" pitchFamily="18" charset="0"/>
                </a:rPr>
                <a:t>×𝐶𝐷𝐹×𝐿𝑜𝑠𝑠 𝑇𝑟𝑒𝑛𝑑 𝐹𝑎𝑐𝑡𝑜𝑟×𝑈𝐿𝐴𝐸 𝐹𝑎𝑐𝑡𝑜𝑟</a:t>
              </a:r>
              <a:endParaRPr lang="en-US" sz="1100"/>
            </a:p>
          </xdr:txBody>
        </xdr:sp>
      </mc:Fallback>
    </mc:AlternateContent>
    <xdr:clientData/>
  </xdr:oneCellAnchor>
  <xdr:oneCellAnchor>
    <xdr:from>
      <xdr:col>1</xdr:col>
      <xdr:colOff>201083</xdr:colOff>
      <xdr:row>187</xdr:row>
      <xdr:rowOff>137583</xdr:rowOff>
    </xdr:from>
    <xdr:ext cx="4001928" cy="443391"/>
    <mc:AlternateContent xmlns:mc="http://schemas.openxmlformats.org/markup-compatibility/2006" xmlns:a14="http://schemas.microsoft.com/office/drawing/2010/main">
      <mc:Choice Requires="a14">
        <xdr:sp macro="" textlink="">
          <xdr:nvSpPr>
            <xdr:cNvPr id="44" name="TextBox 43">
              <a:extLst>
                <a:ext uri="{FF2B5EF4-FFF2-40B4-BE49-F238E27FC236}">
                  <a16:creationId xmlns:a16="http://schemas.microsoft.com/office/drawing/2014/main" id="{39DC5455-8D56-FE43-B9C3-5FC0528ADA71}"/>
                </a:ext>
              </a:extLst>
            </xdr:cNvPr>
            <xdr:cNvSpPr txBox="1"/>
          </xdr:nvSpPr>
          <xdr:spPr>
            <a:xfrm>
              <a:off x="1026583" y="39634583"/>
              <a:ext cx="4001928"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𝑃𝑟𝑜𝑗𝑒𝑐𝑡𝑒𝑑</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 &amp; </m:t>
                    </m:r>
                    <m:r>
                      <a:rPr lang="en-US" sz="1100" b="0" i="1">
                        <a:latin typeface="Cambria Math" panose="02040503050406030204" pitchFamily="18" charset="0"/>
                      </a:rPr>
                      <m:t>𝐿𝐴𝐸</m:t>
                    </m:r>
                    <m:r>
                      <a:rPr lang="en-US" sz="1100" b="0" i="1">
                        <a:latin typeface="Cambria Math" panose="02040503050406030204" pitchFamily="18" charset="0"/>
                      </a:rPr>
                      <m:t> </m:t>
                    </m:r>
                    <m:r>
                      <a:rPr lang="en-US" sz="1100" b="0" i="1">
                        <a:latin typeface="Cambria Math" panose="02040503050406030204" pitchFamily="18" charset="0"/>
                      </a:rPr>
                      <m:t>𝑅𝑎𝑡𝑖𝑜</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𝑃𝑟𝑜𝑗𝑒𝑐𝑡𝑒𝑑</m:t>
                        </m:r>
                        <m:r>
                          <a:rPr lang="en-US" sz="1100" b="0" i="1">
                            <a:latin typeface="Cambria Math" panose="02040503050406030204" pitchFamily="18" charset="0"/>
                          </a:rPr>
                          <m:t> </m:t>
                        </m:r>
                        <m:r>
                          <a:rPr lang="en-US" sz="1100" b="0" i="1">
                            <a:latin typeface="Cambria Math" panose="02040503050406030204" pitchFamily="18" charset="0"/>
                          </a:rPr>
                          <m:t>𝑈𝑙𝑡𝑖𝑚𝑎𝑡𝑒</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 &amp; </m:t>
                        </m:r>
                        <m:r>
                          <a:rPr lang="en-US" sz="1100" b="0" i="1">
                            <a:latin typeface="Cambria Math" panose="02040503050406030204" pitchFamily="18" charset="0"/>
                          </a:rPr>
                          <m:t>𝐿𝐴𝐸</m:t>
                        </m:r>
                      </m:num>
                      <m:den>
                        <m:r>
                          <a:rPr lang="en-US" sz="1100" b="0" i="1">
                            <a:latin typeface="Cambria Math" panose="02040503050406030204" pitchFamily="18" charset="0"/>
                          </a:rPr>
                          <m:t>𝑃𝑟𝑜𝑗𝑒𝑐𝑡𝑒𝑑</m:t>
                        </m:r>
                        <m:r>
                          <a:rPr lang="en-US" sz="1100" b="0" i="1">
                            <a:latin typeface="Cambria Math" panose="02040503050406030204" pitchFamily="18" charset="0"/>
                          </a:rPr>
                          <m:t> </m:t>
                        </m:r>
                        <m:r>
                          <a:rPr lang="en-US" sz="1100" b="0" i="1">
                            <a:latin typeface="Cambria Math" panose="02040503050406030204" pitchFamily="18" charset="0"/>
                          </a:rPr>
                          <m:t>𝐸𝑎𝑟𝑛𝑒𝑑</m:t>
                        </m:r>
                        <m:r>
                          <a:rPr lang="en-US" sz="1100" b="0" i="1">
                            <a:latin typeface="Cambria Math" panose="02040503050406030204" pitchFamily="18" charset="0"/>
                          </a:rPr>
                          <m:t> </m:t>
                        </m:r>
                        <m:r>
                          <a:rPr lang="en-US" sz="1100" b="0" i="1">
                            <a:latin typeface="Cambria Math" panose="02040503050406030204" pitchFamily="18" charset="0"/>
                          </a:rPr>
                          <m:t>𝑃𝑟𝑒𝑚</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den>
                    </m:f>
                  </m:oMath>
                </m:oMathPara>
              </a14:m>
              <a:endParaRPr lang="en-US" sz="1100"/>
            </a:p>
          </xdr:txBody>
        </xdr:sp>
      </mc:Choice>
      <mc:Fallback xmlns="">
        <xdr:sp macro="" textlink="">
          <xdr:nvSpPr>
            <xdr:cNvPr id="44" name="TextBox 43">
              <a:extLst>
                <a:ext uri="{FF2B5EF4-FFF2-40B4-BE49-F238E27FC236}">
                  <a16:creationId xmlns:a16="http://schemas.microsoft.com/office/drawing/2014/main" id="{39DC5455-8D56-FE43-B9C3-5FC0528ADA71}"/>
                </a:ext>
              </a:extLst>
            </xdr:cNvPr>
            <xdr:cNvSpPr txBox="1"/>
          </xdr:nvSpPr>
          <xdr:spPr>
            <a:xfrm>
              <a:off x="1026583" y="39634583"/>
              <a:ext cx="4001928"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𝑃𝑟𝑜𝑗𝑒𝑐𝑡𝑒𝑑 𝐿𝑜𝑠𝑠 &amp; 𝐿𝐴𝐸 𝑅𝑎𝑡𝑖𝑜=(𝑃𝑟𝑜𝑗𝑒𝑐𝑡𝑒𝑑 𝑈𝑙𝑡𝑖𝑚𝑎𝑡𝑒 𝐿𝑜𝑠𝑠 &amp; 𝐿𝐴𝐸)/(𝑃𝑟𝑜𝑗𝑒𝑐𝑡𝑒𝑑 𝐸𝑎𝑟𝑛𝑒𝑑 𝑃𝑟𝑒𝑚 𝑎𝑡 𝐶𝑅𝐿)</a:t>
              </a:r>
              <a:endParaRPr lang="en-US" sz="1100"/>
            </a:p>
          </xdr:txBody>
        </xdr:sp>
      </mc:Fallback>
    </mc:AlternateContent>
    <xdr:clientData/>
  </xdr:oneCellAnchor>
  <xdr:oneCellAnchor>
    <xdr:from>
      <xdr:col>1</xdr:col>
      <xdr:colOff>127000</xdr:colOff>
      <xdr:row>224</xdr:row>
      <xdr:rowOff>105833</xdr:rowOff>
    </xdr:from>
    <xdr:ext cx="3884083" cy="443391"/>
    <mc:AlternateContent xmlns:mc="http://schemas.openxmlformats.org/markup-compatibility/2006" xmlns:a14="http://schemas.microsoft.com/office/drawing/2010/main">
      <mc:Choice Requires="a14">
        <xdr:sp macro="" textlink="">
          <xdr:nvSpPr>
            <xdr:cNvPr id="45" name="TextBox 44">
              <a:extLst>
                <a:ext uri="{FF2B5EF4-FFF2-40B4-BE49-F238E27FC236}">
                  <a16:creationId xmlns:a16="http://schemas.microsoft.com/office/drawing/2014/main" id="{84001FEE-6E11-7944-8D3C-EFA8978B7505}"/>
                </a:ext>
              </a:extLst>
            </xdr:cNvPr>
            <xdr:cNvSpPr txBox="1"/>
          </xdr:nvSpPr>
          <xdr:spPr>
            <a:xfrm>
              <a:off x="952500" y="46122166"/>
              <a:ext cx="3884083"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𝑅𝑒𝑠𝑖𝑑𝑢𝑎𝑙</m:t>
                    </m:r>
                    <m:r>
                      <a:rPr lang="en-US" sz="1100" b="0" i="1">
                        <a:latin typeface="Cambria Math" panose="02040503050406030204" pitchFamily="18" charset="0"/>
                      </a:rPr>
                      <m:t> </m:t>
                    </m:r>
                    <m:r>
                      <a:rPr lang="en-US" sz="1100" b="0" i="1">
                        <a:latin typeface="Cambria Math" panose="02040503050406030204" pitchFamily="18" charset="0"/>
                      </a:rPr>
                      <m:t>𝐼𝑛𝑑𝑖𝑐𝑎𝑡𝑖𝑜𝑛</m:t>
                    </m:r>
                    <m:r>
                      <a:rPr lang="en-US" sz="1100" b="0" i="1">
                        <a:latin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m:t>
                        </m:r>
                        <m:r>
                          <a:rPr lang="en-US" sz="1100" b="0" i="1">
                            <a:latin typeface="Cambria Math" panose="02040503050406030204" pitchFamily="18" charset="0"/>
                            <a:ea typeface="Cambria Math" panose="02040503050406030204" pitchFamily="18" charset="0"/>
                          </a:rPr>
                          <m:t>𝐿𝑎𝑡𝑒𝑠𝑡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𝐼𝑛𝑑𝑖𝑐𝑎𝑡𝑒𝑑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𝑅𝑎𝑡𝑒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𝐶h𝑎𝑛𝑔𝑒</m:t>
                        </m:r>
                      </m:num>
                      <m:den>
                        <m:r>
                          <a:rPr lang="en-US" sz="1100" b="0" i="1">
                            <a:latin typeface="Cambria Math" panose="02040503050406030204" pitchFamily="18" charset="0"/>
                            <a:ea typeface="Cambria Math" panose="02040503050406030204" pitchFamily="18" charset="0"/>
                          </a:rPr>
                          <m:t>1+</m:t>
                        </m:r>
                        <m:r>
                          <a:rPr lang="en-US" sz="1100" b="0" i="1">
                            <a:latin typeface="Cambria Math" panose="02040503050406030204" pitchFamily="18" charset="0"/>
                            <a:ea typeface="Cambria Math" panose="02040503050406030204" pitchFamily="18" charset="0"/>
                          </a:rPr>
                          <m:t>𝐿𝑎𝑡𝑒𝑠𝑡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𝑅𝑎𝑡𝑒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𝐶h𝑎𝑛𝑔𝑒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𝑇𝑎𝑘𝑒𝑛</m:t>
                        </m:r>
                      </m:den>
                    </m:f>
                    <m:r>
                      <a:rPr lang="en-US" sz="1100" b="0" i="1">
                        <a:latin typeface="Cambria Math" panose="02040503050406030204" pitchFamily="18" charset="0"/>
                        <a:ea typeface="Cambria Math" panose="02040503050406030204" pitchFamily="18" charset="0"/>
                      </a:rPr>
                      <m:t>−1</m:t>
                    </m:r>
                  </m:oMath>
                </m:oMathPara>
              </a14:m>
              <a:endParaRPr lang="en-US" sz="1100"/>
            </a:p>
          </xdr:txBody>
        </xdr:sp>
      </mc:Choice>
      <mc:Fallback xmlns="">
        <xdr:sp macro="" textlink="">
          <xdr:nvSpPr>
            <xdr:cNvPr id="45" name="TextBox 44">
              <a:extLst>
                <a:ext uri="{FF2B5EF4-FFF2-40B4-BE49-F238E27FC236}">
                  <a16:creationId xmlns:a16="http://schemas.microsoft.com/office/drawing/2014/main" id="{84001FEE-6E11-7944-8D3C-EFA8978B7505}"/>
                </a:ext>
              </a:extLst>
            </xdr:cNvPr>
            <xdr:cNvSpPr txBox="1"/>
          </xdr:nvSpPr>
          <xdr:spPr>
            <a:xfrm>
              <a:off x="952500" y="46122166"/>
              <a:ext cx="3884083"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r>
                <a:rPr lang="en-US" sz="1100" b="0" i="0">
                  <a:latin typeface="Cambria Math" panose="02040503050406030204" pitchFamily="18" charset="0"/>
                </a:rPr>
                <a:t>𝑅𝑒𝑠𝑖𝑑𝑢𝑎𝑙 𝐼𝑛𝑑𝑖𝑐𝑎𝑡𝑖𝑜𝑛=</a:t>
              </a:r>
              <a:r>
                <a:rPr lang="en-US" sz="1100" b="0" i="0">
                  <a:latin typeface="Cambria Math" panose="02040503050406030204" pitchFamily="18" charset="0"/>
                  <a:ea typeface="Cambria Math" panose="02040503050406030204" pitchFamily="18" charset="0"/>
                </a:rPr>
                <a:t>(1+𝐿𝑎𝑡𝑒𝑠𝑡 𝐼𝑛𝑑𝑖𝑐𝑎𝑡𝑒𝑑 𝑅𝑎𝑡𝑒 𝐶ℎ𝑎𝑛𝑔𝑒)/(1+𝐿𝑎𝑡𝑒𝑠𝑡 𝑅𝑎𝑡𝑒 𝐶ℎ𝑎𝑛𝑔𝑒 𝑇𝑎𝑘𝑒𝑛)−1</a:t>
              </a:r>
              <a:endParaRPr lang="en-US" sz="1100"/>
            </a:p>
          </xdr:txBody>
        </xdr:sp>
      </mc:Fallback>
    </mc:AlternateContent>
    <xdr:clientData/>
  </xdr:oneCellAnchor>
  <xdr:oneCellAnchor>
    <xdr:from>
      <xdr:col>1</xdr:col>
      <xdr:colOff>232833</xdr:colOff>
      <xdr:row>253</xdr:row>
      <xdr:rowOff>116417</xdr:rowOff>
    </xdr:from>
    <xdr:ext cx="4790734" cy="264431"/>
    <mc:AlternateContent xmlns:mc="http://schemas.openxmlformats.org/markup-compatibility/2006" xmlns:a14="http://schemas.microsoft.com/office/drawing/2010/main">
      <mc:Choice Requires="a14">
        <xdr:sp macro="" textlink="">
          <xdr:nvSpPr>
            <xdr:cNvPr id="48" name="TextBox 47">
              <a:extLst>
                <a:ext uri="{FF2B5EF4-FFF2-40B4-BE49-F238E27FC236}">
                  <a16:creationId xmlns:a16="http://schemas.microsoft.com/office/drawing/2014/main" id="{C004BB2F-03EE-E043-B39B-692CD6EF93E4}"/>
                </a:ext>
              </a:extLst>
            </xdr:cNvPr>
            <xdr:cNvSpPr txBox="1"/>
          </xdr:nvSpPr>
          <xdr:spPr>
            <a:xfrm>
              <a:off x="1058333" y="52165250"/>
              <a:ext cx="4790734"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𝐶𝑟𝑒𝑑</m:t>
                    </m:r>
                    <m:r>
                      <m:rPr>
                        <m:nor/>
                      </m:rPr>
                      <a:rPr lang="en-US" sz="1100" b="0" i="0">
                        <a:latin typeface="Cambria Math" panose="02040503050406030204" pitchFamily="18" charset="0"/>
                      </a:rPr>
                      <m:t>−</m:t>
                    </m:r>
                    <m:r>
                      <a:rPr lang="en-US" sz="1100" b="0" i="1">
                        <a:latin typeface="Cambria Math" panose="02040503050406030204" pitchFamily="18" charset="0"/>
                      </a:rPr>
                      <m:t>𝑊𝑡𝑑</m:t>
                    </m:r>
                    <m:r>
                      <a:rPr lang="en-US" sz="1100" b="0" i="1">
                        <a:latin typeface="Cambria Math" panose="02040503050406030204" pitchFamily="18" charset="0"/>
                      </a:rPr>
                      <m:t> </m:t>
                    </m:r>
                    <m:r>
                      <a:rPr lang="en-US" sz="1100" b="0" i="1">
                        <a:latin typeface="Cambria Math" panose="02040503050406030204" pitchFamily="18" charset="0"/>
                      </a:rPr>
                      <m:t>𝐼𝑛𝑑𝑖𝑐𝑎𝑡𝑖𝑜𝑛</m:t>
                    </m:r>
                    <m:r>
                      <a:rPr lang="en-US" sz="1100" b="0" i="1">
                        <a:latin typeface="Cambria Math" panose="02040503050406030204" pitchFamily="18" charset="0"/>
                      </a:rPr>
                      <m:t>=</m:t>
                    </m:r>
                    <m:r>
                      <a:rPr lang="en-US" sz="1100" b="0" i="1">
                        <a:latin typeface="Cambria Math" panose="02040503050406030204" pitchFamily="18" charset="0"/>
                      </a:rPr>
                      <m:t>𝑍</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𝐼𝑛𝑑𝑖𝑐𝑎𝑡𝑒𝑑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𝑅𝑎𝑡𝑒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𝐶h𝑎𝑛𝑔𝑒</m:t>
                    </m:r>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1−</m:t>
                        </m:r>
                        <m:r>
                          <a:rPr lang="en-US" sz="1100" b="0" i="1">
                            <a:latin typeface="Cambria Math" panose="02040503050406030204" pitchFamily="18" charset="0"/>
                            <a:ea typeface="Cambria Math" panose="02040503050406030204" pitchFamily="18" charset="0"/>
                          </a:rPr>
                          <m:t>𝑍</m:t>
                        </m:r>
                      </m:e>
                    </m:d>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𝐶𝑜𝑚𝑝𝑙𝑒𝑚𝑒𝑛𝑡</m:t>
                    </m:r>
                  </m:oMath>
                </m:oMathPara>
              </a14:m>
              <a:endParaRPr lang="en-US" sz="1100"/>
            </a:p>
          </xdr:txBody>
        </xdr:sp>
      </mc:Choice>
      <mc:Fallback xmlns="">
        <xdr:sp macro="" textlink="">
          <xdr:nvSpPr>
            <xdr:cNvPr id="48" name="TextBox 47">
              <a:extLst>
                <a:ext uri="{FF2B5EF4-FFF2-40B4-BE49-F238E27FC236}">
                  <a16:creationId xmlns:a16="http://schemas.microsoft.com/office/drawing/2014/main" id="{C004BB2F-03EE-E043-B39B-692CD6EF93E4}"/>
                </a:ext>
              </a:extLst>
            </xdr:cNvPr>
            <xdr:cNvSpPr txBox="1"/>
          </xdr:nvSpPr>
          <xdr:spPr>
            <a:xfrm>
              <a:off x="1058333" y="52165250"/>
              <a:ext cx="4790734"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𝐶𝑟𝑒𝑑"-" 𝑊𝑡𝑑 𝐼𝑛𝑑𝑖𝑐𝑎𝑡𝑖𝑜𝑛=𝑍</a:t>
              </a:r>
              <a:r>
                <a:rPr lang="en-US" sz="1100" b="0" i="0">
                  <a:latin typeface="Cambria Math" panose="02040503050406030204" pitchFamily="18" charset="0"/>
                  <a:ea typeface="Cambria Math" panose="02040503050406030204" pitchFamily="18" charset="0"/>
                </a:rPr>
                <a:t>×𝐼𝑛𝑑𝑖𝑐𝑎𝑡𝑒𝑑 𝑅𝑎𝑡𝑒 𝐶ℎ𝑎𝑛𝑔𝑒+(1−𝑍)×𝐶𝑜𝑚𝑝𝑙𝑒𝑚𝑒𝑛𝑡</a:t>
              </a:r>
              <a:endParaRPr lang="en-US" sz="1100"/>
            </a:p>
          </xdr:txBody>
        </xdr:sp>
      </mc:Fallback>
    </mc:AlternateContent>
    <xdr:clientData/>
  </xdr:oneCellAnchor>
  <xdr:oneCellAnchor>
    <xdr:from>
      <xdr:col>1</xdr:col>
      <xdr:colOff>127001</xdr:colOff>
      <xdr:row>231</xdr:row>
      <xdr:rowOff>105833</xdr:rowOff>
    </xdr:from>
    <xdr:ext cx="3079750" cy="443391"/>
    <mc:AlternateContent xmlns:mc="http://schemas.openxmlformats.org/markup-compatibility/2006" xmlns:a14="http://schemas.microsoft.com/office/drawing/2010/main">
      <mc:Choice Requires="a14">
        <xdr:sp macro="" textlink="">
          <xdr:nvSpPr>
            <xdr:cNvPr id="49" name="TextBox 48">
              <a:extLst>
                <a:ext uri="{FF2B5EF4-FFF2-40B4-BE49-F238E27FC236}">
                  <a16:creationId xmlns:a16="http://schemas.microsoft.com/office/drawing/2014/main" id="{031B139F-4844-C84E-B3BA-C130D228F136}"/>
                </a:ext>
              </a:extLst>
            </xdr:cNvPr>
            <xdr:cNvSpPr txBox="1"/>
          </xdr:nvSpPr>
          <xdr:spPr>
            <a:xfrm>
              <a:off x="952501" y="47730833"/>
              <a:ext cx="3079750"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𝑁𝑒𝑡</m:t>
                    </m:r>
                    <m:r>
                      <a:rPr lang="en-US" sz="1100" b="0" i="1">
                        <a:latin typeface="Cambria Math" panose="02040503050406030204" pitchFamily="18" charset="0"/>
                      </a:rPr>
                      <m:t> </m:t>
                    </m:r>
                    <m:r>
                      <a:rPr lang="en-US" sz="1100" b="0" i="1">
                        <a:latin typeface="Cambria Math" panose="02040503050406030204" pitchFamily="18" charset="0"/>
                      </a:rPr>
                      <m:t>𝑇𝑟𝑒𝑛𝑑</m:t>
                    </m:r>
                    <m:r>
                      <a:rPr lang="en-US" sz="1100" b="0" i="1">
                        <a:latin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m:t>
                        </m:r>
                        <m:r>
                          <a:rPr lang="en-US" sz="1100" b="0" i="1">
                            <a:latin typeface="Cambria Math" panose="02040503050406030204" pitchFamily="18" charset="0"/>
                            <a:ea typeface="Cambria Math" panose="02040503050406030204" pitchFamily="18" charset="0"/>
                          </a:rPr>
                          <m:t>𝑃𝑟𝑜𝑗𝑒𝑐𝑡𝑒𝑑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𝐿𝑜𝑠𝑠</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𝑇𝑟𝑒𝑛𝑑</m:t>
                        </m:r>
                      </m:num>
                      <m:den>
                        <m:r>
                          <a:rPr lang="en-US" sz="1100" b="0" i="1">
                            <a:latin typeface="Cambria Math" panose="02040503050406030204" pitchFamily="18" charset="0"/>
                            <a:ea typeface="Cambria Math" panose="02040503050406030204" pitchFamily="18" charset="0"/>
                          </a:rPr>
                          <m:t>1+</m:t>
                        </m:r>
                        <m:r>
                          <a:rPr lang="en-US" sz="1100" b="0" i="1">
                            <a:latin typeface="Cambria Math" panose="02040503050406030204" pitchFamily="18" charset="0"/>
                            <a:ea typeface="Cambria Math" panose="02040503050406030204" pitchFamily="18" charset="0"/>
                          </a:rPr>
                          <m:t>𝑃𝑟𝑜𝑗𝑒𝑐𝑡𝑒𝑑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𝑃𝑟𝑒𝑚𝑖𝑢𝑚</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𝑇𝑟𝑒𝑛𝑑</m:t>
                        </m:r>
                      </m:den>
                    </m:f>
                    <m:r>
                      <a:rPr lang="en-US" sz="1100" b="0" i="1">
                        <a:latin typeface="Cambria Math" panose="02040503050406030204" pitchFamily="18" charset="0"/>
                        <a:ea typeface="Cambria Math" panose="02040503050406030204" pitchFamily="18" charset="0"/>
                      </a:rPr>
                      <m:t>−1</m:t>
                    </m:r>
                  </m:oMath>
                </m:oMathPara>
              </a14:m>
              <a:endParaRPr lang="en-US" sz="1100"/>
            </a:p>
          </xdr:txBody>
        </xdr:sp>
      </mc:Choice>
      <mc:Fallback xmlns="">
        <xdr:sp macro="" textlink="">
          <xdr:nvSpPr>
            <xdr:cNvPr id="49" name="TextBox 48">
              <a:extLst>
                <a:ext uri="{FF2B5EF4-FFF2-40B4-BE49-F238E27FC236}">
                  <a16:creationId xmlns:a16="http://schemas.microsoft.com/office/drawing/2014/main" id="{031B139F-4844-C84E-B3BA-C130D228F136}"/>
                </a:ext>
              </a:extLst>
            </xdr:cNvPr>
            <xdr:cNvSpPr txBox="1"/>
          </xdr:nvSpPr>
          <xdr:spPr>
            <a:xfrm>
              <a:off x="952501" y="47730833"/>
              <a:ext cx="3079750"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r>
                <a:rPr lang="en-US" sz="1100" b="0" i="0">
                  <a:latin typeface="Cambria Math" panose="02040503050406030204" pitchFamily="18" charset="0"/>
                </a:rPr>
                <a:t>𝑁𝑒𝑡 𝑇𝑟𝑒𝑛𝑑=</a:t>
              </a:r>
              <a:r>
                <a:rPr lang="en-US" sz="1100" b="0" i="0">
                  <a:latin typeface="Cambria Math" panose="02040503050406030204" pitchFamily="18" charset="0"/>
                  <a:ea typeface="Cambria Math" panose="02040503050406030204" pitchFamily="18" charset="0"/>
                </a:rPr>
                <a:t>(1+𝑃𝑟𝑜𝑗𝑒𝑐𝑡𝑒𝑑 𝐿𝑜𝑠𝑠 𝑇𝑟𝑒𝑛𝑑)/(1+𝑃𝑟𝑜𝑗𝑒𝑐𝑡𝑒𝑑 𝑃𝑟𝑒𝑚𝑖𝑢𝑚 𝑇𝑟𝑒𝑛𝑑)−1</a:t>
              </a:r>
              <a:endParaRPr lang="en-US" sz="1100"/>
            </a:p>
          </xdr:txBody>
        </xdr:sp>
      </mc:Fallback>
    </mc:AlternateContent>
    <xdr:clientData/>
  </xdr:oneCellAnchor>
  <xdr:oneCellAnchor>
    <xdr:from>
      <xdr:col>1</xdr:col>
      <xdr:colOff>127000</xdr:colOff>
      <xdr:row>240</xdr:row>
      <xdr:rowOff>105833</xdr:rowOff>
    </xdr:from>
    <xdr:ext cx="5439833" cy="265522"/>
    <mc:AlternateContent xmlns:mc="http://schemas.openxmlformats.org/markup-compatibility/2006" xmlns:a14="http://schemas.microsoft.com/office/drawing/2010/main">
      <mc:Choice Requires="a14">
        <xdr:sp macro="" textlink="">
          <xdr:nvSpPr>
            <xdr:cNvPr id="50" name="TextBox 49">
              <a:extLst>
                <a:ext uri="{FF2B5EF4-FFF2-40B4-BE49-F238E27FC236}">
                  <a16:creationId xmlns:a16="http://schemas.microsoft.com/office/drawing/2014/main" id="{5E0C7FE0-FBB9-4C41-8602-2BFA861CE79A}"/>
                </a:ext>
              </a:extLst>
            </xdr:cNvPr>
            <xdr:cNvSpPr txBox="1"/>
          </xdr:nvSpPr>
          <xdr:spPr>
            <a:xfrm>
              <a:off x="952500" y="49339500"/>
              <a:ext cx="5439833" cy="26552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𝑇𝑟𝑒𝑛𝑑𝑒𝑑</m:t>
                    </m:r>
                    <m:r>
                      <a:rPr lang="en-US" sz="1100" b="0" i="1">
                        <a:latin typeface="Cambria Math" panose="02040503050406030204" pitchFamily="18" charset="0"/>
                      </a:rPr>
                      <m:t> </m:t>
                    </m:r>
                    <m:r>
                      <a:rPr lang="en-US" sz="1100" b="0" i="1">
                        <a:latin typeface="Cambria Math" panose="02040503050406030204" pitchFamily="18" charset="0"/>
                      </a:rPr>
                      <m:t>𝑃𝑟𝑒𝑠𝑒𝑛𝑡</m:t>
                    </m:r>
                    <m:r>
                      <a:rPr lang="en-US" sz="1100" b="0" i="1">
                        <a:latin typeface="Cambria Math" panose="02040503050406030204" pitchFamily="18" charset="0"/>
                      </a:rPr>
                      <m:t> </m:t>
                    </m:r>
                    <m:r>
                      <a:rPr lang="en-US" sz="1100" b="0" i="1">
                        <a:latin typeface="Cambria Math" panose="02040503050406030204" pitchFamily="18" charset="0"/>
                      </a:rPr>
                      <m:t>𝑅𝑎𝑡𝑒𝑠</m:t>
                    </m:r>
                    <m:r>
                      <a:rPr lang="en-US" sz="1100" b="0" i="1">
                        <a:latin typeface="Cambria Math" panose="02040503050406030204" pitchFamily="18" charset="0"/>
                      </a:rPr>
                      <m:t> </m:t>
                    </m:r>
                    <m:r>
                      <a:rPr lang="en-US" sz="1100" b="0" i="1">
                        <a:latin typeface="Cambria Math" panose="02040503050406030204" pitchFamily="18" charset="0"/>
                      </a:rPr>
                      <m:t>𝐼𝑛𝑑𝑖𝑐𝑎𝑡𝑖𝑜𝑛</m:t>
                    </m:r>
                    <m:r>
                      <a:rPr lang="en-US" sz="1100" b="0" i="1">
                        <a:latin typeface="Cambria Math" panose="02040503050406030204" pitchFamily="18" charset="0"/>
                      </a:rPr>
                      <m:t>=</m:t>
                    </m:r>
                    <m:d>
                      <m:dPr>
                        <m:ctrlPr>
                          <a:rPr lang="en-US" sz="1100" b="0" i="1">
                            <a:latin typeface="Cambria Math" panose="02040503050406030204" pitchFamily="18" charset="0"/>
                          </a:rPr>
                        </m:ctrlPr>
                      </m:dPr>
                      <m:e>
                        <m:r>
                          <a:rPr lang="en-US" sz="1100" b="0" i="1">
                            <a:latin typeface="Cambria Math" panose="02040503050406030204" pitchFamily="18" charset="0"/>
                          </a:rPr>
                          <m:t>1+</m:t>
                        </m:r>
                        <m:r>
                          <a:rPr lang="en-US" sz="1100" b="0" i="1">
                            <a:latin typeface="Cambria Math" panose="02040503050406030204" pitchFamily="18" charset="0"/>
                          </a:rPr>
                          <m:t>𝑅𝑒𝑠𝑖𝑑𝑢𝑎𝑙</m:t>
                        </m:r>
                        <m:r>
                          <a:rPr lang="en-US" sz="1100" b="0" i="1">
                            <a:latin typeface="Cambria Math" panose="02040503050406030204" pitchFamily="18" charset="0"/>
                          </a:rPr>
                          <m:t> </m:t>
                        </m:r>
                        <m:r>
                          <a:rPr lang="en-US" sz="1100" b="0" i="1">
                            <a:latin typeface="Cambria Math" panose="02040503050406030204" pitchFamily="18" charset="0"/>
                          </a:rPr>
                          <m:t>𝐼𝑛𝑑𝑖𝑐𝑎𝑡𝑖𝑜𝑛</m:t>
                        </m:r>
                      </m:e>
                    </m:d>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1+</m:t>
                            </m:r>
                            <m:r>
                              <a:rPr lang="en-US" sz="1100" b="0" i="1">
                                <a:latin typeface="Cambria Math" panose="02040503050406030204" pitchFamily="18" charset="0"/>
                                <a:ea typeface="Cambria Math" panose="02040503050406030204" pitchFamily="18" charset="0"/>
                              </a:rPr>
                              <m:t>𝑁𝑒𝑡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𝑇𝑟𝑒𝑛𝑑</m:t>
                            </m:r>
                          </m:e>
                        </m:d>
                      </m:e>
                      <m:sup>
                        <m:r>
                          <a:rPr lang="en-US" sz="1100" b="0" i="1">
                            <a:latin typeface="Cambria Math" panose="02040503050406030204" pitchFamily="18" charset="0"/>
                            <a:ea typeface="Cambria Math" panose="02040503050406030204" pitchFamily="18" charset="0"/>
                          </a:rPr>
                          <m:t>𝑡</m:t>
                        </m:r>
                      </m:sup>
                    </m:sSup>
                    <m:r>
                      <a:rPr lang="en-US" sz="1100" b="0" i="1">
                        <a:latin typeface="Cambria Math" panose="02040503050406030204" pitchFamily="18" charset="0"/>
                        <a:ea typeface="Cambria Math" panose="02040503050406030204" pitchFamily="18" charset="0"/>
                      </a:rPr>
                      <m:t>−1</m:t>
                    </m:r>
                  </m:oMath>
                </m:oMathPara>
              </a14:m>
              <a:endParaRPr lang="en-US" sz="1100"/>
            </a:p>
          </xdr:txBody>
        </xdr:sp>
      </mc:Choice>
      <mc:Fallback xmlns="">
        <xdr:sp macro="" textlink="">
          <xdr:nvSpPr>
            <xdr:cNvPr id="50" name="TextBox 49">
              <a:extLst>
                <a:ext uri="{FF2B5EF4-FFF2-40B4-BE49-F238E27FC236}">
                  <a16:creationId xmlns:a16="http://schemas.microsoft.com/office/drawing/2014/main" id="{5E0C7FE0-FBB9-4C41-8602-2BFA861CE79A}"/>
                </a:ext>
              </a:extLst>
            </xdr:cNvPr>
            <xdr:cNvSpPr txBox="1"/>
          </xdr:nvSpPr>
          <xdr:spPr>
            <a:xfrm>
              <a:off x="952500" y="49339500"/>
              <a:ext cx="5439833" cy="26552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r>
                <a:rPr lang="en-US" sz="1100" b="0" i="0">
                  <a:latin typeface="Cambria Math" panose="02040503050406030204" pitchFamily="18" charset="0"/>
                </a:rPr>
                <a:t>𝑇𝑟𝑒𝑛𝑑𝑒𝑑 𝑃𝑟𝑒𝑠𝑒𝑛𝑡 𝑅𝑎𝑡𝑒𝑠 𝐼𝑛𝑑𝑖𝑐𝑎𝑡𝑖𝑜𝑛=(1+𝑅𝑒𝑠𝑖𝑑𝑢𝑎𝑙 𝐼𝑛𝑑𝑖𝑐𝑎𝑡𝑖𝑜𝑛)</a:t>
              </a:r>
              <a:r>
                <a:rPr lang="en-US" sz="1100" b="0" i="0">
                  <a:latin typeface="Cambria Math" panose="02040503050406030204" pitchFamily="18" charset="0"/>
                  <a:ea typeface="Cambria Math" panose="02040503050406030204" pitchFamily="18" charset="0"/>
                </a:rPr>
                <a:t>×(1+𝑁𝑒𝑡 𝑇𝑟𝑒𝑛𝑑)^𝑡−1</a:t>
              </a:r>
              <a:endParaRPr lang="en-US" sz="1100"/>
            </a:p>
          </xdr:txBody>
        </xdr:sp>
      </mc:Fallback>
    </mc:AlternateContent>
    <xdr:clientData/>
  </xdr:oneCellAnchor>
  <xdr:twoCellAnchor editAs="oneCell">
    <xdr:from>
      <xdr:col>1</xdr:col>
      <xdr:colOff>148167</xdr:colOff>
      <xdr:row>83</xdr:row>
      <xdr:rowOff>10583</xdr:rowOff>
    </xdr:from>
    <xdr:to>
      <xdr:col>10</xdr:col>
      <xdr:colOff>416984</xdr:colOff>
      <xdr:row>95</xdr:row>
      <xdr:rowOff>13088</xdr:rowOff>
    </xdr:to>
    <xdr:pic>
      <xdr:nvPicPr>
        <xdr:cNvPr id="3" name="Picture 2">
          <a:extLst>
            <a:ext uri="{FF2B5EF4-FFF2-40B4-BE49-F238E27FC236}">
              <a16:creationId xmlns:a16="http://schemas.microsoft.com/office/drawing/2014/main" id="{03210B21-CEC3-0E71-456E-4FA6245857FD}"/>
            </a:ext>
          </a:extLst>
        </xdr:cNvPr>
        <xdr:cNvPicPr>
          <a:picLocks noChangeAspect="1"/>
        </xdr:cNvPicPr>
      </xdr:nvPicPr>
      <xdr:blipFill>
        <a:blip xmlns:r="http://schemas.openxmlformats.org/officeDocument/2006/relationships" r:embed="rId1"/>
        <a:stretch>
          <a:fillRect/>
        </a:stretch>
      </xdr:blipFill>
      <xdr:spPr>
        <a:xfrm>
          <a:off x="973667" y="16605250"/>
          <a:ext cx="7772400" cy="2415505"/>
        </a:xfrm>
        <a:prstGeom prst="rect">
          <a:avLst/>
        </a:prstGeom>
      </xdr:spPr>
    </xdr:pic>
    <xdr:clientData/>
  </xdr:twoCellAnchor>
  <xdr:twoCellAnchor editAs="oneCell">
    <xdr:from>
      <xdr:col>1</xdr:col>
      <xdr:colOff>201083</xdr:colOff>
      <xdr:row>147</xdr:row>
      <xdr:rowOff>158750</xdr:rowOff>
    </xdr:from>
    <xdr:to>
      <xdr:col>10</xdr:col>
      <xdr:colOff>469900</xdr:colOff>
      <xdr:row>160</xdr:row>
      <xdr:rowOff>38432</xdr:rowOff>
    </xdr:to>
    <xdr:pic>
      <xdr:nvPicPr>
        <xdr:cNvPr id="4" name="Picture 3">
          <a:extLst>
            <a:ext uri="{FF2B5EF4-FFF2-40B4-BE49-F238E27FC236}">
              <a16:creationId xmlns:a16="http://schemas.microsoft.com/office/drawing/2014/main" id="{DD5E2CFD-DC41-E881-268B-0C31792BFC23}"/>
            </a:ext>
          </a:extLst>
        </xdr:cNvPr>
        <xdr:cNvPicPr>
          <a:picLocks noChangeAspect="1"/>
        </xdr:cNvPicPr>
      </xdr:nvPicPr>
      <xdr:blipFill>
        <a:blip xmlns:r="http://schemas.openxmlformats.org/officeDocument/2006/relationships" r:embed="rId2"/>
        <a:stretch>
          <a:fillRect/>
        </a:stretch>
      </xdr:blipFill>
      <xdr:spPr>
        <a:xfrm>
          <a:off x="1026583" y="29622750"/>
          <a:ext cx="7772400" cy="2493766"/>
        </a:xfrm>
        <a:prstGeom prst="rect">
          <a:avLst/>
        </a:prstGeom>
      </xdr:spPr>
    </xdr:pic>
    <xdr:clientData/>
  </xdr:twoCellAnchor>
  <xdr:twoCellAnchor editAs="oneCell">
    <xdr:from>
      <xdr:col>0</xdr:col>
      <xdr:colOff>814917</xdr:colOff>
      <xdr:row>118</xdr:row>
      <xdr:rowOff>148167</xdr:rowOff>
    </xdr:from>
    <xdr:to>
      <xdr:col>10</xdr:col>
      <xdr:colOff>258234</xdr:colOff>
      <xdr:row>131</xdr:row>
      <xdr:rowOff>27850</xdr:rowOff>
    </xdr:to>
    <xdr:pic>
      <xdr:nvPicPr>
        <xdr:cNvPr id="6" name="Picture 5">
          <a:extLst>
            <a:ext uri="{FF2B5EF4-FFF2-40B4-BE49-F238E27FC236}">
              <a16:creationId xmlns:a16="http://schemas.microsoft.com/office/drawing/2014/main" id="{D5875E67-64C6-0DA0-FB83-947A85ED4195}"/>
            </a:ext>
          </a:extLst>
        </xdr:cNvPr>
        <xdr:cNvPicPr>
          <a:picLocks noChangeAspect="1"/>
        </xdr:cNvPicPr>
      </xdr:nvPicPr>
      <xdr:blipFill>
        <a:blip xmlns:r="http://schemas.openxmlformats.org/officeDocument/2006/relationships" r:embed="rId3"/>
        <a:stretch>
          <a:fillRect/>
        </a:stretch>
      </xdr:blipFill>
      <xdr:spPr>
        <a:xfrm>
          <a:off x="814917" y="23780750"/>
          <a:ext cx="7772400" cy="24937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349250</xdr:colOff>
      <xdr:row>34</xdr:row>
      <xdr:rowOff>169332</xdr:rowOff>
    </xdr:from>
    <xdr:ext cx="3331746" cy="264560"/>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D2303D85-316C-934D-BDC3-58978FEC36A9}"/>
                </a:ext>
              </a:extLst>
            </xdr:cNvPr>
            <xdr:cNvSpPr txBox="1"/>
          </xdr:nvSpPr>
          <xdr:spPr>
            <a:xfrm>
              <a:off x="2000250" y="7503582"/>
              <a:ext cx="3331746"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𝐴𝑠𝑠𝑢𝑚𝑒𝑑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𝐸𝑓𝑓𝑒𝑐𝑡𝑖𝑣𝑒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𝐷𝑎𝑡𝑒</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𝑇𝑖𝑚𝑒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𝑃𝑒𝑟𝑖𝑜𝑑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𝑀𝑖𝑑</m:t>
                    </m:r>
                    <m:r>
                      <m:rPr>
                        <m:nor/>
                      </m:rPr>
                      <a:rPr lang="en-US" sz="1100" b="0" i="0">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𝑃𝑜𝑖𝑛𝑡</m:t>
                    </m:r>
                  </m:oMath>
                </m:oMathPara>
              </a14:m>
              <a:endParaRPr lang="en-US" sz="1100">
                <a:solidFill>
                  <a:schemeClr val="tx1"/>
                </a:solidFill>
              </a:endParaRPr>
            </a:p>
          </xdr:txBody>
        </xdr:sp>
      </mc:Choice>
      <mc:Fallback xmlns="">
        <xdr:sp macro="" textlink="">
          <xdr:nvSpPr>
            <xdr:cNvPr id="9" name="TextBox 8">
              <a:extLst>
                <a:ext uri="{FF2B5EF4-FFF2-40B4-BE49-F238E27FC236}">
                  <a16:creationId xmlns:a16="http://schemas.microsoft.com/office/drawing/2014/main" id="{D2303D85-316C-934D-BDC3-58978FEC36A9}"/>
                </a:ext>
              </a:extLst>
            </xdr:cNvPr>
            <xdr:cNvSpPr txBox="1"/>
          </xdr:nvSpPr>
          <xdr:spPr>
            <a:xfrm>
              <a:off x="2000250" y="7503582"/>
              <a:ext cx="3331746"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𝐴𝑠𝑠𝑢𝑚𝑒𝑑 𝐸𝑓𝑓𝑒𝑐𝑡𝑖𝑣𝑒 𝐷𝑎𝑡𝑒=𝑇𝑖𝑚𝑒 𝑃𝑒𝑟𝑖𝑜𝑑 𝑀𝑖𝑑"-" 𝑃𝑜𝑖𝑛𝑡</a:t>
              </a:r>
              <a:endParaRPr lang="en-US" sz="1100">
                <a:solidFill>
                  <a:schemeClr val="tx1"/>
                </a:solidFill>
              </a:endParaRPr>
            </a:p>
          </xdr:txBody>
        </xdr:sp>
      </mc:Fallback>
    </mc:AlternateContent>
    <xdr:clientData/>
  </xdr:oneCellAnchor>
  <xdr:oneCellAnchor>
    <xdr:from>
      <xdr:col>2</xdr:col>
      <xdr:colOff>31750</xdr:colOff>
      <xdr:row>63</xdr:row>
      <xdr:rowOff>105833</xdr:rowOff>
    </xdr:from>
    <xdr:ext cx="4095159" cy="264560"/>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FB72666A-0BB1-894E-AFFC-18D2C1F8795E}"/>
                </a:ext>
              </a:extLst>
            </xdr:cNvPr>
            <xdr:cNvSpPr txBox="1"/>
          </xdr:nvSpPr>
          <xdr:spPr>
            <a:xfrm>
              <a:off x="1682750" y="12869333"/>
              <a:ext cx="4095159"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𝑃𝑌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𝐸𝑎𝑟𝑛𝑒𝑑</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𝑏𝑦</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𝑎𝑠</m:t>
                    </m:r>
                    <m:r>
                      <m:rPr>
                        <m:nor/>
                      </m:rPr>
                      <a:rPr lang="en-US" sz="1100" b="0" i="0">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𝑜𝑓</m:t>
                    </m:r>
                    <m:r>
                      <m:rPr>
                        <m:nor/>
                      </m:rPr>
                      <a:rPr lang="en-US" sz="1100" b="0" i="0">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𝑑𝑎𝑡𝑒</m:t>
                    </m:r>
                  </m:oMath>
                </m:oMathPara>
              </a14:m>
              <a:endParaRPr lang="en-US" sz="1100">
                <a:solidFill>
                  <a:schemeClr val="tx1"/>
                </a:solidFill>
              </a:endParaRPr>
            </a:p>
          </xdr:txBody>
        </xdr:sp>
      </mc:Choice>
      <mc:Fallback xmlns="">
        <xdr:sp macro="" textlink="">
          <xdr:nvSpPr>
            <xdr:cNvPr id="11" name="TextBox 10">
              <a:extLst>
                <a:ext uri="{FF2B5EF4-FFF2-40B4-BE49-F238E27FC236}">
                  <a16:creationId xmlns:a16="http://schemas.microsoft.com/office/drawing/2014/main" id="{FB72666A-0BB1-894E-AFFC-18D2C1F8795E}"/>
                </a:ext>
              </a:extLst>
            </xdr:cNvPr>
            <xdr:cNvSpPr txBox="1"/>
          </xdr:nvSpPr>
          <xdr:spPr>
            <a:xfrm>
              <a:off x="1682750" y="12869333"/>
              <a:ext cx="4095159"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𝑃𝑌 𝐸𝑎𝑟𝑛𝑒𝑑 𝐸𝑥𝑝𝑜𝑠𝑢𝑟𝑒𝑠=#𝐸𝑥𝑝𝑜𝑠𝑢𝑟𝑒𝑠</a:t>
              </a:r>
              <a:r>
                <a:rPr lang="en-US" sz="1100" b="0" i="0">
                  <a:solidFill>
                    <a:schemeClr val="tx1"/>
                  </a:solidFill>
                  <a:latin typeface="Cambria Math" panose="02040503050406030204" pitchFamily="18" charset="0"/>
                  <a:ea typeface="Cambria Math" panose="02040503050406030204" pitchFamily="18" charset="0"/>
                </a:rPr>
                <a:t>×%𝐸𝑎𝑟𝑛𝑒𝑑 𝑏𝑦 𝑎𝑠"-" 𝑜𝑓"-" 𝑑𝑎𝑡𝑒</a:t>
              </a:r>
              <a:endParaRPr lang="en-US" sz="1100">
                <a:solidFill>
                  <a:schemeClr val="tx1"/>
                </a:solidFill>
              </a:endParaRPr>
            </a:p>
          </xdr:txBody>
        </xdr:sp>
      </mc:Fallback>
    </mc:AlternateContent>
    <xdr:clientData/>
  </xdr:oneCellAnchor>
  <xdr:oneCellAnchor>
    <xdr:from>
      <xdr:col>2</xdr:col>
      <xdr:colOff>508001</xdr:colOff>
      <xdr:row>36</xdr:row>
      <xdr:rowOff>126999</xdr:rowOff>
    </xdr:from>
    <xdr:ext cx="3134576" cy="26456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B370D704-F442-A040-9352-1627E724E6A7}"/>
                </a:ext>
              </a:extLst>
            </xdr:cNvPr>
            <xdr:cNvSpPr txBox="1"/>
          </xdr:nvSpPr>
          <xdr:spPr>
            <a:xfrm>
              <a:off x="2159001" y="7461249"/>
              <a:ext cx="3134576"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𝐸𝑎𝑟𝑛𝑒𝑑</m:t>
                    </m:r>
                  </m:oMath>
                </m:oMathPara>
              </a14:m>
              <a:endParaRPr lang="en-US" sz="1100">
                <a:solidFill>
                  <a:schemeClr val="tx1"/>
                </a:solidFill>
              </a:endParaRPr>
            </a:p>
          </xdr:txBody>
        </xdr:sp>
      </mc:Choice>
      <mc:Fallback xmlns="">
        <xdr:sp macro="" textlink="">
          <xdr:nvSpPr>
            <xdr:cNvPr id="3" name="TextBox 2">
              <a:extLst>
                <a:ext uri="{FF2B5EF4-FFF2-40B4-BE49-F238E27FC236}">
                  <a16:creationId xmlns:a16="http://schemas.microsoft.com/office/drawing/2014/main" id="{B370D704-F442-A040-9352-1627E724E6A7}"/>
                </a:ext>
              </a:extLst>
            </xdr:cNvPr>
            <xdr:cNvSpPr txBox="1"/>
          </xdr:nvSpPr>
          <xdr:spPr>
            <a:xfrm>
              <a:off x="2159001" y="7461249"/>
              <a:ext cx="3134576"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𝐶𝑌 𝐸𝑎𝑟𝑛𝑒𝑑 𝐸𝑥𝑝𝑜𝑠𝑢𝑟𝑒𝑠=#𝐸𝑥𝑝𝑜𝑠𝑢𝑟𝑒𝑠</a:t>
              </a:r>
              <a:r>
                <a:rPr lang="en-US" sz="1100" b="0" i="0">
                  <a:solidFill>
                    <a:schemeClr val="tx1"/>
                  </a:solidFill>
                  <a:latin typeface="Cambria Math" panose="02040503050406030204" pitchFamily="18" charset="0"/>
                  <a:ea typeface="Cambria Math" panose="02040503050406030204" pitchFamily="18" charset="0"/>
                </a:rPr>
                <a:t>×%𝐸𝑎𝑟𝑛𝑒𝑑</a:t>
              </a:r>
              <a:endParaRPr lang="en-US" sz="1100">
                <a:solidFill>
                  <a:schemeClr val="tx1"/>
                </a:solidFill>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1</xdr:col>
      <xdr:colOff>476252</xdr:colOff>
      <xdr:row>36</xdr:row>
      <xdr:rowOff>84668</xdr:rowOff>
    </xdr:from>
    <xdr:ext cx="4815677" cy="618824"/>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86BA2B83-1D88-814C-96D4-FB8FDBCD91B7}"/>
                </a:ext>
              </a:extLst>
            </xdr:cNvPr>
            <xdr:cNvSpPr txBox="1"/>
          </xdr:nvSpPr>
          <xdr:spPr>
            <a:xfrm>
              <a:off x="1301752" y="7429501"/>
              <a:ext cx="4815677" cy="6188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𝑃𝑟𝑒𝑚𝑖𝑢𝑚</m:t>
                    </m:r>
                    <m:r>
                      <a:rPr lang="en-US" sz="1100" b="0" i="1">
                        <a:solidFill>
                          <a:schemeClr val="tx1"/>
                        </a:solidFill>
                        <a:latin typeface="Cambria Math" panose="02040503050406030204" pitchFamily="18" charset="0"/>
                      </a:rPr>
                      <m:t>=</m:t>
                    </m:r>
                    <m:nary>
                      <m:naryPr>
                        <m:chr m:val="∑"/>
                        <m:supHide m:val="on"/>
                        <m:ctrlPr>
                          <a:rPr lang="en-US" sz="1100" b="0" i="1">
                            <a:solidFill>
                              <a:schemeClr val="tx1"/>
                            </a:solidFill>
                            <a:latin typeface="Cambria Math" panose="02040503050406030204" pitchFamily="18" charset="0"/>
                          </a:rPr>
                        </m:ctrlPr>
                      </m:naryPr>
                      <m:sub>
                        <m:eqArr>
                          <m:eqArrPr>
                            <m:ctrlPr>
                              <a:rPr lang="en-US" sz="1100" b="0" i="1">
                                <a:solidFill>
                                  <a:schemeClr val="tx1"/>
                                </a:solidFill>
                                <a:latin typeface="Cambria Math" panose="02040503050406030204" pitchFamily="18" charset="0"/>
                              </a:rPr>
                            </m:ctrlPr>
                          </m:eqArrPr>
                          <m:e>
                            <m:r>
                              <a:rPr lang="en-US" sz="1100" b="0" i="1">
                                <a:solidFill>
                                  <a:schemeClr val="tx1"/>
                                </a:solidFill>
                                <a:latin typeface="Cambria Math" panose="02040503050406030204" pitchFamily="18" charset="0"/>
                              </a:rPr>
                              <m:t>𝐸𝑥𝑝𝑜𝑠𝑒𝑑</m:t>
                            </m:r>
                          </m:e>
                          <m:e>
                            <m:r>
                              <a:rPr lang="en-US" sz="1100" b="0" i="1">
                                <a:solidFill>
                                  <a:schemeClr val="tx1"/>
                                </a:solidFill>
                                <a:latin typeface="Cambria Math" panose="02040503050406030204" pitchFamily="18" charset="0"/>
                              </a:rPr>
                              <m:t>𝑃𝑜𝑙𝑖𝑐𝑖𝑒𝑠</m:t>
                            </m:r>
                          </m:e>
                        </m:eqArr>
                      </m:sub>
                      <m:sup/>
                      <m:e>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𝑃𝑟𝑒𝑚𝑖𝑢𝑚</m:t>
                        </m:r>
                        <m:r>
                          <a:rPr lang="en-US" sz="1100" b="0" i="1">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𝐸𝑎𝑟𝑛𝑒𝑑</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𝑖𝑛</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𝑡𝑖𝑚𝑒</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𝑝𝑒𝑟𝑖𝑜𝑑</m:t>
                        </m:r>
                      </m:e>
                    </m:nary>
                  </m:oMath>
                </m:oMathPara>
              </a14:m>
              <a:endParaRPr lang="en-US" sz="1100">
                <a:solidFill>
                  <a:schemeClr val="tx1"/>
                </a:solidFill>
              </a:endParaRPr>
            </a:p>
          </xdr:txBody>
        </xdr:sp>
      </mc:Choice>
      <mc:Fallback xmlns="">
        <xdr:sp macro="" textlink="">
          <xdr:nvSpPr>
            <xdr:cNvPr id="2" name="TextBox 1">
              <a:extLst>
                <a:ext uri="{FF2B5EF4-FFF2-40B4-BE49-F238E27FC236}">
                  <a16:creationId xmlns:a16="http://schemas.microsoft.com/office/drawing/2014/main" id="{86BA2B83-1D88-814C-96D4-FB8FDBCD91B7}"/>
                </a:ext>
              </a:extLst>
            </xdr:cNvPr>
            <xdr:cNvSpPr txBox="1"/>
          </xdr:nvSpPr>
          <xdr:spPr>
            <a:xfrm>
              <a:off x="1301752" y="7429501"/>
              <a:ext cx="4815677" cy="6188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𝐶𝑌 𝐸𝑎𝑟𝑛𝑒𝑑 𝑃𝑟𝑒𝑚𝑖𝑢𝑚=∑8_█(𝐸𝑥𝑝𝑜𝑠𝑒𝑑@𝑃𝑜𝑙𝑖𝑐𝑖𝑒𝑠)▒〖𝑊𝑟𝑖𝑡𝑡𝑒𝑛 𝑃𝑟𝑒𝑚𝑖𝑢𝑚</a:t>
              </a:r>
              <a:r>
                <a:rPr lang="en-US" sz="1100" b="0" i="0">
                  <a:solidFill>
                    <a:schemeClr val="tx1"/>
                  </a:solidFill>
                  <a:latin typeface="Cambria Math" panose="02040503050406030204" pitchFamily="18" charset="0"/>
                  <a:ea typeface="Cambria Math" panose="02040503050406030204" pitchFamily="18" charset="0"/>
                </a:rPr>
                <a:t>×%𝐸𝑎𝑟𝑛𝑒𝑑 𝑖𝑛 𝑡𝑖𝑚𝑒 𝑝𝑒𝑟𝑖𝑜𝑑〗</a:t>
              </a:r>
              <a:endParaRPr lang="en-US" sz="1100">
                <a:solidFill>
                  <a:schemeClr val="tx1"/>
                </a:solidFill>
              </a:endParaRPr>
            </a:p>
          </xdr:txBody>
        </xdr:sp>
      </mc:Fallback>
    </mc:AlternateContent>
    <xdr:clientData/>
  </xdr:oneCellAnchor>
  <xdr:oneCellAnchor>
    <xdr:from>
      <xdr:col>1</xdr:col>
      <xdr:colOff>476250</xdr:colOff>
      <xdr:row>61</xdr:row>
      <xdr:rowOff>148166</xdr:rowOff>
    </xdr:from>
    <xdr:ext cx="4514954" cy="26456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4AC0C153-0151-E747-A5E3-DDAA88719C4D}"/>
                </a:ext>
              </a:extLst>
            </xdr:cNvPr>
            <xdr:cNvSpPr txBox="1"/>
          </xdr:nvSpPr>
          <xdr:spPr>
            <a:xfrm>
              <a:off x="1301750" y="12117916"/>
              <a:ext cx="451495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𝑃𝑌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𝑃𝑟𝑒𝑚𝑖𝑢𝑚</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𝑃𝑌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𝑃𝑟𝑒𝑚𝑖𝑢𝑚</m:t>
                    </m:r>
                    <m:r>
                      <a:rPr lang="en-US" sz="1100" b="0" i="1">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𝐸𝑎𝑟𝑛𝑒𝑑</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𝑏𝑦</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𝑎𝑠</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𝑜𝑓</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𝑑𝑎𝑡𝑒</m:t>
                    </m:r>
                  </m:oMath>
                </m:oMathPara>
              </a14:m>
              <a:endParaRPr lang="en-US" sz="1100">
                <a:solidFill>
                  <a:schemeClr val="tx1"/>
                </a:solidFill>
              </a:endParaRPr>
            </a:p>
          </xdr:txBody>
        </xdr:sp>
      </mc:Choice>
      <mc:Fallback xmlns="">
        <xdr:sp macro="" textlink="">
          <xdr:nvSpPr>
            <xdr:cNvPr id="7" name="TextBox 6">
              <a:extLst>
                <a:ext uri="{FF2B5EF4-FFF2-40B4-BE49-F238E27FC236}">
                  <a16:creationId xmlns:a16="http://schemas.microsoft.com/office/drawing/2014/main" id="{4AC0C153-0151-E747-A5E3-DDAA88719C4D}"/>
                </a:ext>
              </a:extLst>
            </xdr:cNvPr>
            <xdr:cNvSpPr txBox="1"/>
          </xdr:nvSpPr>
          <xdr:spPr>
            <a:xfrm>
              <a:off x="1301750" y="12117916"/>
              <a:ext cx="4514954"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𝑃𝑌 𝐸𝑎𝑟𝑛𝑒𝑑 𝑃𝑟𝑒𝑚𝑖𝑢𝑚=𝑃𝑌 𝑊𝑟𝑖𝑡𝑡𝑒𝑛 𝑃𝑟𝑒𝑚𝑖𝑢𝑚</a:t>
              </a:r>
              <a:r>
                <a:rPr lang="en-US" sz="1100" b="0" i="0">
                  <a:solidFill>
                    <a:schemeClr val="tx1"/>
                  </a:solidFill>
                  <a:latin typeface="Cambria Math" panose="02040503050406030204" pitchFamily="18" charset="0"/>
                  <a:ea typeface="Cambria Math" panose="02040503050406030204" pitchFamily="18" charset="0"/>
                </a:rPr>
                <a:t>×%𝐸𝑎𝑟𝑛𝑒𝑑 𝑏𝑦 𝑎𝑠 𝑜𝑓 𝑑𝑎𝑡𝑒</a:t>
              </a:r>
              <a:endParaRPr lang="en-US" sz="1100">
                <a:solidFill>
                  <a:schemeClr val="tx1"/>
                </a:solidFill>
              </a:endParaRPr>
            </a:p>
          </xdr:txBody>
        </xdr:sp>
      </mc:Fallback>
    </mc:AlternateContent>
    <xdr:clientData/>
  </xdr:oneCellAnchor>
  <xdr:oneCellAnchor>
    <xdr:from>
      <xdr:col>1</xdr:col>
      <xdr:colOff>275167</xdr:colOff>
      <xdr:row>85</xdr:row>
      <xdr:rowOff>137584</xdr:rowOff>
    </xdr:from>
    <xdr:ext cx="5935599" cy="275653"/>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DE563270-F5E3-D446-8838-01308225376E}"/>
                </a:ext>
              </a:extLst>
            </xdr:cNvPr>
            <xdr:cNvSpPr txBox="1"/>
          </xdr:nvSpPr>
          <xdr:spPr>
            <a:xfrm>
              <a:off x="1100667" y="17335501"/>
              <a:ext cx="5935599" cy="2756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𝑈𝑛𝑒𝑎𝑟𝑛𝑒𝑑</m:t>
                    </m:r>
                    <m:r>
                      <a:rPr lang="en-US" sz="1100" b="0" i="1">
                        <a:solidFill>
                          <a:schemeClr val="tx1"/>
                        </a:solidFill>
                        <a:latin typeface="Cambria Math" panose="02040503050406030204" pitchFamily="18" charset="0"/>
                      </a:rPr>
                      <m:t> </m:t>
                    </m:r>
                    <m:sSub>
                      <m:sSubPr>
                        <m:ctrlPr>
                          <a:rPr lang="en-US" sz="1100" b="0" i="1">
                            <a:solidFill>
                              <a:schemeClr val="tx1"/>
                            </a:solidFill>
                            <a:latin typeface="Cambria Math" panose="02040503050406030204" pitchFamily="18" charset="0"/>
                          </a:rPr>
                        </m:ctrlPr>
                      </m:sSubPr>
                      <m:e>
                        <m:r>
                          <a:rPr lang="en-US" sz="1100" b="0" i="1">
                            <a:solidFill>
                              <a:schemeClr val="tx1"/>
                            </a:solidFill>
                            <a:latin typeface="Cambria Math" panose="02040503050406030204" pitchFamily="18" charset="0"/>
                          </a:rPr>
                          <m:t>𝑃𝑟𝑒𝑚</m:t>
                        </m:r>
                      </m:e>
                      <m:sub>
                        <m:r>
                          <a:rPr lang="en-US" sz="1100" b="0" i="1">
                            <a:solidFill>
                              <a:schemeClr val="tx1"/>
                            </a:solidFill>
                            <a:latin typeface="Cambria Math" panose="02040503050406030204" pitchFamily="18" charset="0"/>
                          </a:rPr>
                          <m:t>𝐸𝑛𝑑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𝐶𝑌</m:t>
                        </m:r>
                      </m:sub>
                    </m:sSub>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𝑃𝑟𝑒𝑚</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𝑃𝑟𝑒𝑚</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𝑈𝑛𝑒𝑎𝑟𝑛𝑒𝑑</m:t>
                    </m:r>
                    <m:r>
                      <a:rPr lang="en-US" sz="1100" b="0" i="1">
                        <a:solidFill>
                          <a:schemeClr val="tx1"/>
                        </a:solidFill>
                        <a:latin typeface="Cambria Math" panose="02040503050406030204" pitchFamily="18" charset="0"/>
                      </a:rPr>
                      <m:t> </m:t>
                    </m:r>
                    <m:sSub>
                      <m:sSubPr>
                        <m:ctrlPr>
                          <a:rPr lang="en-US" sz="1100" b="0" i="1">
                            <a:solidFill>
                              <a:schemeClr val="tx1"/>
                            </a:solidFill>
                            <a:latin typeface="Cambria Math" panose="02040503050406030204" pitchFamily="18" charset="0"/>
                          </a:rPr>
                        </m:ctrlPr>
                      </m:sSubPr>
                      <m:e>
                        <m:r>
                          <a:rPr lang="en-US" sz="1100" b="0" i="1">
                            <a:solidFill>
                              <a:schemeClr val="tx1"/>
                            </a:solidFill>
                            <a:latin typeface="Cambria Math" panose="02040503050406030204" pitchFamily="18" charset="0"/>
                          </a:rPr>
                          <m:t>𝑃𝑟𝑒𝑚</m:t>
                        </m:r>
                      </m:e>
                      <m:sub>
                        <m:r>
                          <a:rPr lang="en-US" sz="1100" b="0" i="1">
                            <a:solidFill>
                              <a:schemeClr val="tx1"/>
                            </a:solidFill>
                            <a:latin typeface="Cambria Math" panose="02040503050406030204" pitchFamily="18" charset="0"/>
                          </a:rPr>
                          <m:t>𝐵𝑒𝑔</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𝐶𝑌</m:t>
                        </m:r>
                      </m:sub>
                    </m:sSub>
                  </m:oMath>
                </m:oMathPara>
              </a14:m>
              <a:endParaRPr lang="en-US" sz="1100">
                <a:solidFill>
                  <a:schemeClr val="tx1"/>
                </a:solidFill>
              </a:endParaRPr>
            </a:p>
          </xdr:txBody>
        </xdr:sp>
      </mc:Choice>
      <mc:Fallback xmlns="">
        <xdr:sp macro="" textlink="">
          <xdr:nvSpPr>
            <xdr:cNvPr id="8" name="TextBox 7">
              <a:extLst>
                <a:ext uri="{FF2B5EF4-FFF2-40B4-BE49-F238E27FC236}">
                  <a16:creationId xmlns:a16="http://schemas.microsoft.com/office/drawing/2014/main" id="{DE563270-F5E3-D446-8838-01308225376E}"/>
                </a:ext>
              </a:extLst>
            </xdr:cNvPr>
            <xdr:cNvSpPr txBox="1"/>
          </xdr:nvSpPr>
          <xdr:spPr>
            <a:xfrm>
              <a:off x="1100667" y="17335501"/>
              <a:ext cx="5935599" cy="2756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𝐶𝑌 𝑈𝑛𝑒𝑎𝑟𝑛𝑒𝑑 〖𝑃𝑟𝑒𝑚〗_(𝐸𝑛𝑑 𝐶𝑌)=𝐶𝑌 𝑊𝑟𝑖𝑡𝑡𝑒𝑛 𝑃𝑟𝑒𝑚−𝐶𝑌 𝐸𝑎𝑟𝑛𝑒𝑑 𝑃𝑟𝑒𝑚+𝐶𝑌 𝑈𝑛𝑒𝑎𝑟𝑛𝑒𝑑 〖𝑃𝑟𝑒𝑚〗_(𝐵𝑒𝑔.  𝐶𝑌)</a:t>
              </a:r>
              <a:endParaRPr lang="en-US" sz="1100">
                <a:solidFill>
                  <a:schemeClr val="tx1"/>
                </a:solidFill>
              </a:endParaRPr>
            </a:p>
          </xdr:txBody>
        </xdr:sp>
      </mc:Fallback>
    </mc:AlternateContent>
    <xdr:clientData/>
  </xdr:oneCellAnchor>
  <xdr:oneCellAnchor>
    <xdr:from>
      <xdr:col>1</xdr:col>
      <xdr:colOff>285749</xdr:colOff>
      <xdr:row>98</xdr:row>
      <xdr:rowOff>158749</xdr:rowOff>
    </xdr:from>
    <xdr:ext cx="4148667" cy="264560"/>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9F14509C-7943-1F4F-BCD4-7A99251D4EDF}"/>
                </a:ext>
              </a:extLst>
            </xdr:cNvPr>
            <xdr:cNvSpPr txBox="1"/>
          </xdr:nvSpPr>
          <xdr:spPr>
            <a:xfrm>
              <a:off x="1111249" y="19970749"/>
              <a:ext cx="414866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𝑈𝑛𝑒𝑎𝑟𝑛𝑒𝑑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𝐸𝑥𝑝𝑜𝑠𝑢𝑟𝑒𝑠</m:t>
                    </m:r>
                  </m:oMath>
                </m:oMathPara>
              </a14:m>
              <a:endParaRPr lang="en-US" sz="1100">
                <a:solidFill>
                  <a:schemeClr val="tx1"/>
                </a:solidFill>
              </a:endParaRPr>
            </a:p>
          </xdr:txBody>
        </xdr:sp>
      </mc:Choice>
      <mc:Fallback xmlns="">
        <xdr:sp macro="" textlink="">
          <xdr:nvSpPr>
            <xdr:cNvPr id="9" name="TextBox 8">
              <a:extLst>
                <a:ext uri="{FF2B5EF4-FFF2-40B4-BE49-F238E27FC236}">
                  <a16:creationId xmlns:a16="http://schemas.microsoft.com/office/drawing/2014/main" id="{9F14509C-7943-1F4F-BCD4-7A99251D4EDF}"/>
                </a:ext>
              </a:extLst>
            </xdr:cNvPr>
            <xdr:cNvSpPr txBox="1"/>
          </xdr:nvSpPr>
          <xdr:spPr>
            <a:xfrm>
              <a:off x="1111249" y="19970749"/>
              <a:ext cx="414866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spAutoFit/>
            </a:bodyPr>
            <a:lstStyle/>
            <a:p>
              <a:pPr/>
              <a:r>
                <a:rPr lang="en-US" sz="1100" b="0" i="0">
                  <a:solidFill>
                    <a:schemeClr val="tx1"/>
                  </a:solidFill>
                  <a:latin typeface="Cambria Math" panose="02040503050406030204" pitchFamily="18" charset="0"/>
                </a:rPr>
                <a:t>𝑊𝑟𝑖𝑡𝑡𝑒𝑛 𝐸𝑥𝑝𝑜𝑠𝑢𝑟𝑒𝑠=𝐸𝑎𝑟𝑛𝑒𝑑 𝐸𝑥𝑝𝑜𝑠𝑢𝑟𝑒𝑠+𝑈𝑛𝑒𝑎𝑟𝑛𝑒𝑑 𝐸𝑥𝑝𝑜𝑠𝑢𝑟𝑒𝑠</a:t>
              </a:r>
              <a:endParaRPr lang="en-US" sz="1100">
                <a:solidFill>
                  <a:schemeClr val="tx1"/>
                </a:solidFill>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1</xdr:col>
      <xdr:colOff>288925</xdr:colOff>
      <xdr:row>19</xdr:row>
      <xdr:rowOff>172508</xdr:rowOff>
    </xdr:from>
    <xdr:ext cx="5594159" cy="17209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A98751B6-DB51-CC4B-92B9-CC7A0FC3D9DE}"/>
                </a:ext>
              </a:extLst>
            </xdr:cNvPr>
            <xdr:cNvSpPr txBox="1"/>
          </xdr:nvSpPr>
          <xdr:spPr>
            <a:xfrm>
              <a:off x="1114425" y="4300008"/>
              <a:ext cx="5594159"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𝑃𝑟𝑒𝑚𝑖𝑢𝑚</m:t>
                    </m:r>
                    <m:r>
                      <a:rPr lang="en-US" sz="1100" b="0" i="1">
                        <a:latin typeface="Cambria Math" panose="02040503050406030204" pitchFamily="18" charset="0"/>
                      </a:rPr>
                      <m:t>=</m:t>
                    </m:r>
                    <m:r>
                      <a:rPr lang="en-US" sz="1100" b="0" i="1">
                        <a:latin typeface="Cambria Math" panose="02040503050406030204" pitchFamily="18" charset="0"/>
                      </a:rPr>
                      <m:t>𝐸𝑥𝑝𝑜𝑠𝑢𝑟𝑒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𝑅𝑎𝑡𝑒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𝑝𝑒𝑟</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𝐸𝑥𝑝𝑜𝑠𝑢𝑟𝑒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𝑇𝑒𝑟𝑟𝑖𝑡𝑜𝑟𝑦</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𝐶𝑙𝑎𝑠𝑠</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𝑃𝑜𝑙𝑖𝑐𝑦</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𝐹𝑒𝑒</m:t>
                    </m:r>
                  </m:oMath>
                </m:oMathPara>
              </a14:m>
              <a:endParaRPr lang="en-US" sz="1100"/>
            </a:p>
          </xdr:txBody>
        </xdr:sp>
      </mc:Choice>
      <mc:Fallback xmlns="">
        <xdr:sp macro="" textlink="">
          <xdr:nvSpPr>
            <xdr:cNvPr id="2" name="TextBox 1">
              <a:extLst>
                <a:ext uri="{FF2B5EF4-FFF2-40B4-BE49-F238E27FC236}">
                  <a16:creationId xmlns:a16="http://schemas.microsoft.com/office/drawing/2014/main" id="{A98751B6-DB51-CC4B-92B9-CC7A0FC3D9DE}"/>
                </a:ext>
              </a:extLst>
            </xdr:cNvPr>
            <xdr:cNvSpPr txBox="1"/>
          </xdr:nvSpPr>
          <xdr:spPr>
            <a:xfrm>
              <a:off x="1114425" y="4300008"/>
              <a:ext cx="5594159"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𝑃𝑟𝑒𝑚𝑖𝑢𝑚=𝐸𝑥𝑝𝑜𝑠𝑢𝑟𝑒</a:t>
              </a:r>
              <a:r>
                <a:rPr lang="en-US" sz="1100" b="0" i="0">
                  <a:latin typeface="Cambria Math" panose="02040503050406030204" pitchFamily="18" charset="0"/>
                  <a:ea typeface="Cambria Math" panose="02040503050406030204" pitchFamily="18" charset="0"/>
                </a:rPr>
                <a:t>×𝑅𝑎𝑡𝑒 𝑝𝑒𝑟 𝐸𝑥𝑝𝑜𝑠𝑢𝑟𝑒×𝑇𝑒𝑟𝑟𝑖𝑡𝑜𝑟𝑦 𝐹𝑎𝑐𝑡𝑜𝑟×𝐶𝑙𝑎𝑠𝑠 𝐹𝑎𝑐𝑡𝑜𝑟+𝑃𝑜𝑙𝑖𝑐𝑦 𝐹𝑒𝑒</a:t>
              </a:r>
              <a:endParaRPr lang="en-US" sz="1100"/>
            </a:p>
          </xdr:txBody>
        </xdr:sp>
      </mc:Fallback>
    </mc:AlternateContent>
    <xdr:clientData/>
  </xdr:oneCellAnchor>
  <xdr:oneCellAnchor>
    <xdr:from>
      <xdr:col>1</xdr:col>
      <xdr:colOff>550332</xdr:colOff>
      <xdr:row>36</xdr:row>
      <xdr:rowOff>137582</xdr:rowOff>
    </xdr:from>
    <xdr:ext cx="4878964" cy="557784"/>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8C4B94E1-C332-A944-9821-B72CC9270096}"/>
                </a:ext>
              </a:extLst>
            </xdr:cNvPr>
            <xdr:cNvSpPr txBox="1"/>
          </xdr:nvSpPr>
          <xdr:spPr>
            <a:xfrm>
              <a:off x="1375832" y="7937499"/>
              <a:ext cx="4878964" cy="5577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𝑃𝑟𝑒𝑚𝑖𝑢𝑚</m:t>
                    </m:r>
                    <m:r>
                      <a:rPr lang="en-US" sz="1100" b="0" i="1">
                        <a:latin typeface="Cambria Math" panose="02040503050406030204" pitchFamily="18" charset="0"/>
                      </a:rPr>
                      <m:t>=</m:t>
                    </m:r>
                    <m:r>
                      <a:rPr lang="en-US" sz="1100" b="0" i="1">
                        <a:latin typeface="Cambria Math" panose="02040503050406030204" pitchFamily="18" charset="0"/>
                      </a:rPr>
                      <m:t>𝐸𝑥𝑝𝑜𝑠𝑢𝑟𝑒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𝑅𝑎𝑡𝑒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𝑝𝑒𝑟</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𝐸𝑥𝑝𝑜𝑠𝑢𝑟𝑒</m:t>
                    </m:r>
                    <m:r>
                      <a:rPr lang="en-US" sz="1100" b="0" i="1">
                        <a:latin typeface="Cambria Math" panose="02040503050406030204" pitchFamily="18" charset="0"/>
                        <a:ea typeface="Cambria Math" panose="02040503050406030204" pitchFamily="18" charset="0"/>
                      </a:rPr>
                      <m:t>×</m:t>
                    </m:r>
                    <m:nary>
                      <m:naryPr>
                        <m:chr m:val="∏"/>
                        <m:ctrlPr>
                          <a:rPr lang="en-US" sz="1100" b="0" i="1">
                            <a:latin typeface="Cambria Math" panose="02040503050406030204" pitchFamily="18" charset="0"/>
                            <a:ea typeface="Cambria Math" panose="02040503050406030204" pitchFamily="18" charset="0"/>
                          </a:rPr>
                        </m:ctrlPr>
                      </m:naryPr>
                      <m:sub>
                        <m:r>
                          <m:rPr>
                            <m:brk m:alnAt="23"/>
                          </m:rPr>
                          <a:rPr lang="en-US" sz="1100" b="0" i="1">
                            <a:latin typeface="Cambria Math" panose="02040503050406030204" pitchFamily="18" charset="0"/>
                            <a:ea typeface="Cambria Math" panose="02040503050406030204" pitchFamily="18" charset="0"/>
                          </a:rPr>
                          <m:t>𝑖</m:t>
                        </m:r>
                        <m:r>
                          <a:rPr lang="en-US" sz="1100" b="0" i="1">
                            <a:latin typeface="Cambria Math" panose="02040503050406030204" pitchFamily="18" charset="0"/>
                            <a:ea typeface="Cambria Math" panose="02040503050406030204" pitchFamily="18" charset="0"/>
                          </a:rPr>
                          <m:t>=1</m:t>
                        </m:r>
                      </m:sub>
                      <m:sup>
                        <m:r>
                          <a:rPr lang="en-US" sz="1100" b="0" i="1">
                            <a:latin typeface="Cambria Math" panose="02040503050406030204" pitchFamily="18" charset="0"/>
                            <a:ea typeface="Cambria Math" panose="02040503050406030204" pitchFamily="18" charset="0"/>
                          </a:rPr>
                          <m:t>𝑛</m:t>
                        </m:r>
                      </m:sup>
                      <m:e>
                        <m:r>
                          <a:rPr lang="en-US" sz="1100" b="0" i="1">
                            <a:latin typeface="Cambria Math" panose="02040503050406030204" pitchFamily="18" charset="0"/>
                            <a:ea typeface="Cambria Math" panose="02040503050406030204" pitchFamily="18" charset="0"/>
                          </a:rPr>
                          <m:t>𝐶𝑙𝑎𝑠𝑠</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𝑠</m:t>
                            </m:r>
                          </m:e>
                          <m:sub>
                            <m:r>
                              <a:rPr lang="en-US" sz="1100" b="0" i="1">
                                <a:latin typeface="Cambria Math" panose="02040503050406030204" pitchFamily="18" charset="0"/>
                                <a:ea typeface="Cambria Math" panose="02040503050406030204" pitchFamily="18" charset="0"/>
                              </a:rPr>
                              <m:t>𝑖</m:t>
                            </m:r>
                          </m:sub>
                        </m:sSub>
                      </m:e>
                    </m:nary>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𝑃𝑜𝑙𝑖𝑐𝑦</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𝐹𝑒𝑒</m:t>
                    </m:r>
                  </m:oMath>
                </m:oMathPara>
              </a14:m>
              <a:endParaRPr lang="en-US" sz="1100"/>
            </a:p>
          </xdr:txBody>
        </xdr:sp>
      </mc:Choice>
      <mc:Fallback xmlns="">
        <xdr:sp macro="" textlink="">
          <xdr:nvSpPr>
            <xdr:cNvPr id="3" name="TextBox 2">
              <a:extLst>
                <a:ext uri="{FF2B5EF4-FFF2-40B4-BE49-F238E27FC236}">
                  <a16:creationId xmlns:a16="http://schemas.microsoft.com/office/drawing/2014/main" id="{8C4B94E1-C332-A944-9821-B72CC9270096}"/>
                </a:ext>
              </a:extLst>
            </xdr:cNvPr>
            <xdr:cNvSpPr txBox="1"/>
          </xdr:nvSpPr>
          <xdr:spPr>
            <a:xfrm>
              <a:off x="1375832" y="7937499"/>
              <a:ext cx="4878964" cy="5577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𝑃𝑟𝑒𝑚𝑖𝑢𝑚=𝐸𝑥𝑝𝑜𝑠𝑢𝑟𝑒</a:t>
              </a:r>
              <a:r>
                <a:rPr lang="en-US" sz="1100" b="0" i="0">
                  <a:latin typeface="Cambria Math" panose="02040503050406030204" pitchFamily="18" charset="0"/>
                  <a:ea typeface="Cambria Math" panose="02040503050406030204" pitchFamily="18" charset="0"/>
                </a:rPr>
                <a:t>×𝑅𝑎𝑡𝑒 𝑝𝑒𝑟 𝐸𝑥𝑝𝑜𝑠𝑢𝑟𝑒×∏_(𝑖=1)^𝑛▒〖𝐶𝑙𝑎𝑠𝑠 𝐹𝑎𝑐𝑡𝑜𝑟𝑠_𝑖 〗+𝑃𝑜𝑙𝑖𝑐𝑦 𝐹𝑒𝑒</a:t>
              </a:r>
              <a:endParaRPr lang="en-US" sz="1100"/>
            </a:p>
          </xdr:txBody>
        </xdr:sp>
      </mc:Fallback>
    </mc:AlternateContent>
    <xdr:clientData/>
  </xdr:oneCellAnchor>
  <xdr:oneCellAnchor>
    <xdr:from>
      <xdr:col>1</xdr:col>
      <xdr:colOff>560917</xdr:colOff>
      <xdr:row>65</xdr:row>
      <xdr:rowOff>31751</xdr:rowOff>
    </xdr:from>
    <xdr:ext cx="4575804" cy="502189"/>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B2C4EAB5-0E1C-5B48-AF7D-9309F81ED1C6}"/>
                </a:ext>
              </a:extLst>
            </xdr:cNvPr>
            <xdr:cNvSpPr txBox="1"/>
          </xdr:nvSpPr>
          <xdr:spPr>
            <a:xfrm>
              <a:off x="1386417" y="14403918"/>
              <a:ext cx="4575804" cy="50218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𝐸𝑎𝑟𝑛𝑒𝑑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𝑃𝑟𝑒𝑚𝑖𝑢𝑚</m:t>
                    </m:r>
                    <m:r>
                      <a:rPr lang="en-US" sz="1100" b="0" i="1">
                        <a:solidFill>
                          <a:schemeClr val="tx1"/>
                        </a:solidFill>
                        <a:latin typeface="Cambria Math" panose="02040503050406030204" pitchFamily="18" charset="0"/>
                      </a:rPr>
                      <m:t>=</m:t>
                    </m:r>
                    <m:nary>
                      <m:naryPr>
                        <m:chr m:val="∑"/>
                        <m:subHide m:val="on"/>
                        <m:supHide m:val="on"/>
                        <m:ctrlPr>
                          <a:rPr lang="en-US" sz="1100" b="0" i="1">
                            <a:solidFill>
                              <a:schemeClr val="tx1"/>
                            </a:solidFill>
                            <a:latin typeface="Cambria Math" panose="02040503050406030204" pitchFamily="18" charset="0"/>
                          </a:rPr>
                        </m:ctrlPr>
                      </m:naryPr>
                      <m:sub/>
                      <m:sup/>
                      <m:e>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𝑃𝑟𝑒𝑚𝑖𝑢𝑚</m:t>
                        </m:r>
                        <m:r>
                          <a:rPr lang="en-US" sz="1100" b="0" i="1">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𝐸𝑎𝑟𝑛𝑒𝑑</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𝑖𝑛</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𝑡𝑖𝑚𝑒</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𝑝𝑒𝑟𝑖𝑜𝑑</m:t>
                        </m:r>
                      </m:e>
                    </m:nary>
                  </m:oMath>
                </m:oMathPara>
              </a14:m>
              <a:endParaRPr lang="en-US" sz="1100">
                <a:solidFill>
                  <a:schemeClr val="tx1"/>
                </a:solidFill>
              </a:endParaRPr>
            </a:p>
          </xdr:txBody>
        </xdr:sp>
      </mc:Choice>
      <mc:Fallback xmlns="">
        <xdr:sp macro="" textlink="">
          <xdr:nvSpPr>
            <xdr:cNvPr id="4" name="TextBox 3">
              <a:extLst>
                <a:ext uri="{FF2B5EF4-FFF2-40B4-BE49-F238E27FC236}">
                  <a16:creationId xmlns:a16="http://schemas.microsoft.com/office/drawing/2014/main" id="{B2C4EAB5-0E1C-5B48-AF7D-9309F81ED1C6}"/>
                </a:ext>
              </a:extLst>
            </xdr:cNvPr>
            <xdr:cNvSpPr txBox="1"/>
          </xdr:nvSpPr>
          <xdr:spPr>
            <a:xfrm>
              <a:off x="1386417" y="14403918"/>
              <a:ext cx="4575804" cy="50218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𝐶𝑌 𝐸𝑎𝑟𝑛𝑒𝑑 𝑃𝑟𝑒𝑚𝑖𝑢𝑚=∑▒〖𝑊𝑟𝑖𝑡𝑡𝑒𝑛 𝑃𝑟𝑒𝑚𝑖𝑢𝑚</a:t>
              </a:r>
              <a:r>
                <a:rPr lang="en-US" sz="1100" b="0" i="0">
                  <a:solidFill>
                    <a:schemeClr val="tx1"/>
                  </a:solidFill>
                  <a:latin typeface="Cambria Math" panose="02040503050406030204" pitchFamily="18" charset="0"/>
                  <a:ea typeface="Cambria Math" panose="02040503050406030204" pitchFamily="18" charset="0"/>
                </a:rPr>
                <a:t>×%𝐸𝑎𝑟𝑛𝑒𝑑 𝑖𝑛 𝑡𝑖𝑚𝑒 𝑝𝑒𝑟𝑖𝑜𝑑〗</a:t>
              </a:r>
              <a:endParaRPr lang="en-US" sz="1100">
                <a:solidFill>
                  <a:schemeClr val="tx1"/>
                </a:solidFill>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190501</xdr:colOff>
      <xdr:row>23</xdr:row>
      <xdr:rowOff>148166</xdr:rowOff>
    </xdr:from>
    <xdr:ext cx="3158109" cy="43678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3F3D425C-91DC-C542-A796-F4BDECED3828}"/>
                </a:ext>
              </a:extLst>
            </xdr:cNvPr>
            <xdr:cNvSpPr txBox="1"/>
          </xdr:nvSpPr>
          <xdr:spPr>
            <a:xfrm>
              <a:off x="1016001" y="5545666"/>
              <a:ext cx="3158109" cy="4367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m:t>
                    </m:r>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1</m:t>
                        </m:r>
                      </m:sub>
                    </m:sSub>
                    <m:r>
                      <a:rPr lang="en-US" sz="1100" b="0" i="1">
                        <a:latin typeface="Cambria Math" panose="02040503050406030204" pitchFamily="18" charset="0"/>
                      </a:rPr>
                      <m:t>=1.00</m:t>
                    </m:r>
                  </m:oMath>
                </m:oMathPara>
              </a14:m>
              <a:endParaRPr lang="en-US" sz="1100" b="0"/>
            </a:p>
            <a:p>
              <a14:m>
                <m:oMath xmlns:m="http://schemas.openxmlformats.org/officeDocument/2006/math">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m:t>
                  </m:r>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sub>
                  </m:sSub>
                  <m:r>
                    <a:rPr lang="en-US" sz="1100" b="0" i="1">
                      <a:latin typeface="Cambria Math" panose="02040503050406030204" pitchFamily="18" charset="0"/>
                    </a:rPr>
                    <m:t>=</m:t>
                  </m:r>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m:t>
                  </m:r>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r>
                        <a:rPr lang="en-US" sz="1100" b="0" i="1">
                          <a:latin typeface="Cambria Math" panose="02040503050406030204" pitchFamily="18" charset="0"/>
                        </a:rPr>
                        <m:t>−1</m:t>
                      </m:r>
                    </m:sub>
                  </m:sSub>
                  <m:r>
                    <a:rPr lang="en-US" sz="1100" b="0" i="1">
                      <a:latin typeface="Cambria Math" panose="02040503050406030204" pitchFamily="18" charset="0"/>
                      <a:ea typeface="Cambria Math" panose="02040503050406030204" pitchFamily="18" charset="0"/>
                    </a:rPr>
                    <m:t>×(1+</m:t>
                  </m:r>
                  <m:r>
                    <a:rPr lang="en-US" sz="1100" b="0" i="1">
                      <a:latin typeface="Cambria Math" panose="02040503050406030204" pitchFamily="18" charset="0"/>
                      <a:ea typeface="Cambria Math" panose="02040503050406030204" pitchFamily="18" charset="0"/>
                    </a:rPr>
                    <m:t>𝑟𝑎𝑡𝑒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𝑐h𝑎𝑛𝑔</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𝑒</m:t>
                      </m:r>
                    </m:e>
                    <m:sub>
                      <m:r>
                        <a:rPr lang="en-US" sz="1100" b="0" i="1">
                          <a:latin typeface="Cambria Math" panose="02040503050406030204" pitchFamily="18" charset="0"/>
                          <a:ea typeface="Cambria Math" panose="02040503050406030204" pitchFamily="18" charset="0"/>
                        </a:rPr>
                        <m:t>𝑖</m:t>
                      </m:r>
                    </m:sub>
                  </m:sSub>
                  <m:r>
                    <a:rPr lang="en-US" sz="1100" b="0" i="1">
                      <a:latin typeface="Cambria Math" panose="02040503050406030204" pitchFamily="18" charset="0"/>
                      <a:ea typeface="Cambria Math" panose="02040503050406030204" pitchFamily="18" charset="0"/>
                    </a:rPr>
                    <m:t>)</m:t>
                  </m:r>
                </m:oMath>
              </a14:m>
              <a:r>
                <a:rPr lang="en-US" sz="1100"/>
                <a:t> </a:t>
              </a:r>
            </a:p>
          </xdr:txBody>
        </xdr:sp>
      </mc:Choice>
      <mc:Fallback xmlns="">
        <xdr:sp macro="" textlink="">
          <xdr:nvSpPr>
            <xdr:cNvPr id="2" name="TextBox 1">
              <a:extLst>
                <a:ext uri="{FF2B5EF4-FFF2-40B4-BE49-F238E27FC236}">
                  <a16:creationId xmlns:a16="http://schemas.microsoft.com/office/drawing/2014/main" id="{3F3D425C-91DC-C542-A796-F4BDECED3828}"/>
                </a:ext>
              </a:extLst>
            </xdr:cNvPr>
            <xdr:cNvSpPr txBox="1"/>
          </xdr:nvSpPr>
          <xdr:spPr>
            <a:xfrm>
              <a:off x="1016001" y="5545666"/>
              <a:ext cx="3158109" cy="4367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𝐶𝑅𝐿 𝐼𝑛𝑑𝑒𝑥_1=1.00</a:t>
              </a:r>
              <a:endParaRPr lang="en-US" sz="1100" b="0"/>
            </a:p>
            <a:p>
              <a:pPr/>
              <a:r>
                <a:rPr lang="en-US" sz="1100" b="0" i="0">
                  <a:latin typeface="Cambria Math" panose="02040503050406030204" pitchFamily="18" charset="0"/>
                </a:rPr>
                <a:t>𝐶𝑅𝐿 𝐼𝑛𝑑𝑒𝑥_𝑖=𝐶𝑅𝐿 𝐼𝑛𝑑𝑒𝑥_(𝑖−1)</a:t>
              </a:r>
              <a:r>
                <a:rPr lang="en-US" sz="1100" b="0" i="0">
                  <a:latin typeface="Cambria Math" panose="02040503050406030204" pitchFamily="18" charset="0"/>
                  <a:ea typeface="Cambria Math" panose="02040503050406030204" pitchFamily="18" charset="0"/>
                </a:rPr>
                <a:t>×(1+𝑟𝑎𝑡𝑒 𝑐ℎ𝑎𝑛𝑔𝑒_𝑖)</a:t>
              </a:r>
              <a:r>
                <a:rPr lang="en-US" sz="1100"/>
                <a:t> </a:t>
              </a:r>
            </a:p>
          </xdr:txBody>
        </xdr:sp>
      </mc:Fallback>
    </mc:AlternateContent>
    <xdr:clientData/>
  </xdr:oneCellAnchor>
  <xdr:oneCellAnchor>
    <xdr:from>
      <xdr:col>1</xdr:col>
      <xdr:colOff>211667</xdr:colOff>
      <xdr:row>33</xdr:row>
      <xdr:rowOff>158750</xdr:rowOff>
    </xdr:from>
    <xdr:ext cx="3415550" cy="892424"/>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A554B2BE-5143-E74F-A120-20E51CF24EB1}"/>
                </a:ext>
              </a:extLst>
            </xdr:cNvPr>
            <xdr:cNvSpPr txBox="1"/>
          </xdr:nvSpPr>
          <xdr:spPr>
            <a:xfrm>
              <a:off x="1037167" y="9175750"/>
              <a:ext cx="3415550" cy="8924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lgn="l"/>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𝐴𝑟𝑒𝑎</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𝑎</m:t>
                    </m:r>
                    <m:r>
                      <a:rPr lang="en-US" sz="1100" b="0" i="1">
                        <a:latin typeface="Cambria Math" panose="02040503050406030204" pitchFamily="18" charset="0"/>
                      </a:rPr>
                      <m:t> </m:t>
                    </m:r>
                    <m:r>
                      <a:rPr lang="en-US" sz="1100" b="0" i="1">
                        <a:latin typeface="Cambria Math" panose="02040503050406030204" pitchFamily="18" charset="0"/>
                      </a:rPr>
                      <m:t>𝑡𝑟𝑖𝑎𝑛𝑔𝑙𝑒</m:t>
                    </m:r>
                    <m:r>
                      <a:rPr lang="en-US" sz="1100" b="0" i="1">
                        <a:latin typeface="Cambria Math" panose="02040503050406030204" pitchFamily="18" charset="0"/>
                      </a:rPr>
                      <m:t>=</m:t>
                    </m:r>
                    <m:f>
                      <m:fPr>
                        <m:type m:val="skw"/>
                        <m:ctrlPr>
                          <a:rPr lang="en-US" sz="1100" b="0" i="1">
                            <a:latin typeface="Cambria Math" panose="02040503050406030204" pitchFamily="18" charset="0"/>
                          </a:rPr>
                        </m:ctrlPr>
                      </m:fPr>
                      <m:num>
                        <m:r>
                          <a:rPr lang="en-US" sz="1100" b="0" i="1">
                            <a:latin typeface="Cambria Math" panose="02040503050406030204" pitchFamily="18" charset="0"/>
                          </a:rPr>
                          <m:t>1</m:t>
                        </m:r>
                      </m:num>
                      <m:den>
                        <m:r>
                          <a:rPr lang="en-US" sz="1100" b="0" i="1">
                            <a:latin typeface="Cambria Math" panose="02040503050406030204" pitchFamily="18" charset="0"/>
                          </a:rPr>
                          <m:t>2</m:t>
                        </m:r>
                      </m:den>
                    </m:f>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𝑏𝑎𝑠𝑒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h𝑒𝑖𝑔h𝑡</m:t>
                    </m:r>
                  </m:oMath>
                </m:oMathPara>
              </a14:m>
              <a:endParaRPr lang="en-US" sz="1100" b="0">
                <a:ea typeface="Cambria Math" panose="02040503050406030204" pitchFamily="18" charset="0"/>
              </a:endParaRPr>
            </a:p>
            <a:p>
              <a:pPr algn="l"/>
              <a:endParaRPr lang="en-US" sz="600" b="0">
                <a:ea typeface="Cambria Math" panose="020405030504060302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𝐴𝑟𝑒𝑎</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𝑎</m:t>
                    </m:r>
                    <m:r>
                      <a:rPr lang="en-US" sz="1100" b="0" i="1">
                        <a:latin typeface="Cambria Math" panose="02040503050406030204" pitchFamily="18" charset="0"/>
                      </a:rPr>
                      <m:t> </m:t>
                    </m:r>
                    <m:r>
                      <a:rPr lang="en-US" sz="1100" b="0" i="1">
                        <a:latin typeface="Cambria Math" panose="02040503050406030204" pitchFamily="18" charset="0"/>
                      </a:rPr>
                      <m:t>𝑝𝑎𝑟𝑎𝑙𝑙𝑒𝑙𝑜𝑔𝑟𝑎𝑚</m:t>
                    </m:r>
                    <m:r>
                      <a:rPr lang="en-US" sz="1100" b="0" i="1">
                        <a:latin typeface="Cambria Math" panose="02040503050406030204" pitchFamily="18" charset="0"/>
                      </a:rPr>
                      <m:t>=</m:t>
                    </m:r>
                    <m:r>
                      <a:rPr lang="en-US" sz="1100" b="0" i="1">
                        <a:latin typeface="Cambria Math" panose="02040503050406030204" pitchFamily="18" charset="0"/>
                        <a:ea typeface="Cambria Math" panose="02040503050406030204" pitchFamily="18" charset="0"/>
                      </a:rPr>
                      <m:t>𝑏𝑎𝑠𝑒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h𝑒𝑖𝑔h𝑡</m:t>
                    </m:r>
                  </m:oMath>
                </m:oMathPara>
              </a14:m>
              <a:endParaRPr lang="en-US" sz="1100"/>
            </a:p>
            <a:p>
              <a:pPr marL="0" marR="0" lvl="0" indent="0" algn="l" defTabSz="914400" eaLnBrk="1" fontAlgn="auto" latinLnBrk="0" hangingPunct="1">
                <a:lnSpc>
                  <a:spcPct val="100000"/>
                </a:lnSpc>
                <a:spcBef>
                  <a:spcPts val="0"/>
                </a:spcBef>
                <a:spcAft>
                  <a:spcPts val="0"/>
                </a:spcAft>
                <a:buClrTx/>
                <a:buSzTx/>
                <a:buFontTx/>
                <a:buNone/>
                <a:tabLst/>
                <a:defRPr/>
              </a:pPr>
              <a:endParaRPr lang="en-US" sz="600"/>
            </a:p>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𝐴𝑟𝑒𝑎</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𝑎</m:t>
                    </m:r>
                    <m:r>
                      <a:rPr lang="en-US" sz="1100" b="0" i="1">
                        <a:latin typeface="Cambria Math" panose="02040503050406030204" pitchFamily="18" charset="0"/>
                      </a:rPr>
                      <m:t> </m:t>
                    </m:r>
                    <m:r>
                      <a:rPr lang="en-US" sz="1100" b="0" i="1">
                        <a:latin typeface="Cambria Math" panose="02040503050406030204" pitchFamily="18" charset="0"/>
                      </a:rPr>
                      <m:t>𝑡𝑟𝑎𝑝𝑒𝑧𝑜𝑖𝑑</m:t>
                    </m:r>
                    <m:r>
                      <a:rPr lang="en-US" sz="1100" b="0" i="1">
                        <a:latin typeface="Cambria Math" panose="02040503050406030204" pitchFamily="18" charset="0"/>
                      </a:rPr>
                      <m:t>=</m:t>
                    </m:r>
                    <m:f>
                      <m:fPr>
                        <m:type m:val="skw"/>
                        <m:ctrlPr>
                          <a:rPr lang="en-US" sz="1100" b="0" i="1">
                            <a:latin typeface="Cambria Math" panose="02040503050406030204" pitchFamily="18" charset="0"/>
                          </a:rPr>
                        </m:ctrlPr>
                      </m:fPr>
                      <m:num>
                        <m:r>
                          <a:rPr lang="en-US" sz="1100" b="0" i="1">
                            <a:latin typeface="Cambria Math" panose="02040503050406030204" pitchFamily="18" charset="0"/>
                          </a:rPr>
                          <m:t>1</m:t>
                        </m:r>
                      </m:num>
                      <m:den>
                        <m:r>
                          <a:rPr lang="en-US" sz="1100" b="0" i="1">
                            <a:latin typeface="Cambria Math" panose="02040503050406030204" pitchFamily="18" charset="0"/>
                          </a:rPr>
                          <m:t>2</m:t>
                        </m:r>
                      </m:den>
                    </m:f>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𝑏𝑎𝑠</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𝑒</m:t>
                            </m:r>
                          </m:e>
                          <m:sub>
                            <m:r>
                              <a:rPr lang="en-US" sz="1100" b="0" i="1">
                                <a:latin typeface="Cambria Math" panose="02040503050406030204" pitchFamily="18" charset="0"/>
                                <a:ea typeface="Cambria Math" panose="02040503050406030204" pitchFamily="18" charset="0"/>
                              </a:rPr>
                              <m:t>1</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𝑏𝑎𝑠</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𝑒</m:t>
                            </m:r>
                          </m:e>
                          <m:sub>
                            <m:r>
                              <a:rPr lang="en-US" sz="1100" b="0" i="1">
                                <a:latin typeface="Cambria Math" panose="02040503050406030204" pitchFamily="18" charset="0"/>
                                <a:ea typeface="Cambria Math" panose="02040503050406030204" pitchFamily="18" charset="0"/>
                              </a:rPr>
                              <m:t>2</m:t>
                            </m:r>
                          </m:sub>
                        </m:sSub>
                      </m:e>
                    </m:d>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h𝑒𝑖𝑔h𝑡</m:t>
                    </m:r>
                  </m:oMath>
                </m:oMathPara>
              </a14:m>
              <a:endParaRPr lang="en-US" sz="1100"/>
            </a:p>
          </xdr:txBody>
        </xdr:sp>
      </mc:Choice>
      <mc:Fallback xmlns="">
        <xdr:sp macro="" textlink="">
          <xdr:nvSpPr>
            <xdr:cNvPr id="3" name="TextBox 2">
              <a:extLst>
                <a:ext uri="{FF2B5EF4-FFF2-40B4-BE49-F238E27FC236}">
                  <a16:creationId xmlns:a16="http://schemas.microsoft.com/office/drawing/2014/main" id="{A554B2BE-5143-E74F-A120-20E51CF24EB1}"/>
                </a:ext>
              </a:extLst>
            </xdr:cNvPr>
            <xdr:cNvSpPr txBox="1"/>
          </xdr:nvSpPr>
          <xdr:spPr>
            <a:xfrm>
              <a:off x="1037167" y="9175750"/>
              <a:ext cx="3415550" cy="8924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lgn="l"/>
              <a:r>
                <a:rPr lang="en-US" sz="1100" b="0" i="0">
                  <a:latin typeface="Cambria Math" panose="02040503050406030204" pitchFamily="18" charset="0"/>
                </a:rPr>
                <a:t>𝐴𝑟𝑒𝑎 𝑜𝑓 𝑎 𝑡𝑟𝑖𝑎𝑛𝑔𝑙𝑒=1⁄2</a:t>
              </a:r>
              <a:r>
                <a:rPr lang="en-US" sz="1100" b="0" i="0">
                  <a:latin typeface="Cambria Math" panose="02040503050406030204" pitchFamily="18" charset="0"/>
                  <a:ea typeface="Cambria Math" panose="02040503050406030204" pitchFamily="18" charset="0"/>
                </a:rPr>
                <a:t>×𝑏𝑎𝑠𝑒×ℎ𝑒𝑖𝑔ℎ𝑡</a:t>
              </a:r>
              <a:endParaRPr lang="en-US" sz="1100" b="0">
                <a:ea typeface="Cambria Math" panose="02040503050406030204" pitchFamily="18" charset="0"/>
              </a:endParaRPr>
            </a:p>
            <a:p>
              <a:pPr algn="l"/>
              <a:endParaRPr lang="en-US" sz="600" b="0">
                <a:ea typeface="Cambria Math" panose="020405030504060302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a:latin typeface="Cambria Math" panose="02040503050406030204" pitchFamily="18" charset="0"/>
                </a:rPr>
                <a:t>𝐴𝑟𝑒𝑎 𝑜𝑓 𝑎 𝑝𝑎𝑟𝑎𝑙𝑙𝑒𝑙𝑜𝑔𝑟𝑎𝑚=</a:t>
              </a:r>
              <a:r>
                <a:rPr lang="en-US" sz="1100" b="0" i="0">
                  <a:latin typeface="Cambria Math" panose="02040503050406030204" pitchFamily="18" charset="0"/>
                  <a:ea typeface="Cambria Math" panose="02040503050406030204" pitchFamily="18" charset="0"/>
                </a:rPr>
                <a:t>𝑏𝑎𝑠𝑒×ℎ𝑒𝑖𝑔ℎ𝑡</a:t>
              </a:r>
              <a:endParaRPr lang="en-US" sz="1100"/>
            </a:p>
            <a:p>
              <a:pPr marL="0" marR="0" lvl="0" indent="0" algn="l" defTabSz="914400" eaLnBrk="1" fontAlgn="auto" latinLnBrk="0" hangingPunct="1">
                <a:lnSpc>
                  <a:spcPct val="100000"/>
                </a:lnSpc>
                <a:spcBef>
                  <a:spcPts val="0"/>
                </a:spcBef>
                <a:spcAft>
                  <a:spcPts val="0"/>
                </a:spcAft>
                <a:buClrTx/>
                <a:buSzTx/>
                <a:buFontTx/>
                <a:buNone/>
                <a:tabLst/>
                <a:defRPr/>
              </a:pPr>
              <a:endParaRPr lang="en-US" sz="600"/>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a:latin typeface="Cambria Math" panose="02040503050406030204" pitchFamily="18" charset="0"/>
                </a:rPr>
                <a:t>𝐴𝑟𝑒𝑎 𝑜𝑓 𝑎 𝑡𝑟𝑎𝑝𝑒𝑧𝑜𝑖𝑑=1⁄2</a:t>
              </a:r>
              <a:r>
                <a:rPr lang="en-US" sz="1100" b="0" i="0">
                  <a:latin typeface="Cambria Math" panose="02040503050406030204" pitchFamily="18" charset="0"/>
                  <a:ea typeface="Cambria Math" panose="02040503050406030204" pitchFamily="18" charset="0"/>
                </a:rPr>
                <a:t>×(𝑏𝑎𝑠𝑒_1+𝑏𝑎𝑠𝑒_2 )×ℎ𝑒𝑖𝑔ℎ𝑡</a:t>
              </a:r>
              <a:endParaRPr lang="en-US" sz="1100"/>
            </a:p>
          </xdr:txBody>
        </xdr:sp>
      </mc:Fallback>
    </mc:AlternateContent>
    <xdr:clientData/>
  </xdr:oneCellAnchor>
  <xdr:oneCellAnchor>
    <xdr:from>
      <xdr:col>1</xdr:col>
      <xdr:colOff>232833</xdr:colOff>
      <xdr:row>53</xdr:row>
      <xdr:rowOff>31750</xdr:rowOff>
    </xdr:from>
    <xdr:ext cx="4219681" cy="502189"/>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762E84D5-CC40-944B-AC06-453F79F82BC5}"/>
                </a:ext>
              </a:extLst>
            </xdr:cNvPr>
            <xdr:cNvSpPr txBox="1"/>
          </xdr:nvSpPr>
          <xdr:spPr>
            <a:xfrm>
              <a:off x="1058333" y="11260667"/>
              <a:ext cx="421968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𝐼𝑛𝑑𝑒𝑥</m:t>
                    </m:r>
                    <m:r>
                      <a:rPr lang="en-US" sz="1100" b="0" i="1">
                        <a:latin typeface="Cambria Math" panose="02040503050406030204" pitchFamily="18" charset="0"/>
                      </a:rPr>
                      <m:t>=</m:t>
                    </m:r>
                    <m:nary>
                      <m:naryPr>
                        <m:chr m:val="∑"/>
                        <m:subHide m:val="on"/>
                        <m:supHide m:val="on"/>
                        <m:ctrlPr>
                          <a:rPr lang="en-US" sz="1100" b="0" i="1">
                            <a:latin typeface="Cambria Math" panose="02040503050406030204" pitchFamily="18" charset="0"/>
                          </a:rPr>
                        </m:ctrlPr>
                      </m:naryPr>
                      <m:sub/>
                      <m:sup/>
                      <m:e>
                        <m:r>
                          <a:rPr lang="en-US" sz="1100" b="0" i="1">
                            <a:latin typeface="Cambria Math" panose="02040503050406030204" pitchFamily="18" charset="0"/>
                          </a:rPr>
                          <m:t>%</m:t>
                        </m:r>
                        <m:r>
                          <a:rPr lang="en-US" sz="1100" b="0" i="1">
                            <a:latin typeface="Cambria Math" panose="02040503050406030204" pitchFamily="18" charset="0"/>
                          </a:rPr>
                          <m:t>𝐸𝑃</m:t>
                        </m:r>
                        <m:r>
                          <a:rPr lang="en-US" sz="1100" b="0" i="1">
                            <a:latin typeface="Cambria Math" panose="02040503050406030204" pitchFamily="18" charset="0"/>
                          </a:rPr>
                          <m:t> </m:t>
                        </m:r>
                        <m:r>
                          <a:rPr lang="en-US" sz="1100" b="0" i="1">
                            <a:latin typeface="Cambria Math" panose="02040503050406030204" pitchFamily="18" charset="0"/>
                          </a:rPr>
                          <m:t>𝑖𝑛</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 </m:t>
                        </m:r>
                        <m:r>
                          <a:rPr lang="en-US" sz="1100" b="0" i="1">
                            <a:latin typeface="Cambria Math" panose="02040503050406030204" pitchFamily="18" charset="0"/>
                          </a:rPr>
                          <m:t>𝐿𝑒𝑣𝑒𝑙</m:t>
                        </m:r>
                        <m:r>
                          <a:rPr lang="en-US" sz="1100" b="0" i="1">
                            <a:latin typeface="Cambria Math" panose="02040503050406030204" pitchFamily="18" charset="0"/>
                          </a:rPr>
                          <m:t> </m:t>
                        </m:r>
                        <m:r>
                          <a:rPr lang="en-US" sz="1100" b="0" i="1">
                            <a:latin typeface="Cambria Math" panose="02040503050406030204" pitchFamily="18" charset="0"/>
                          </a:rPr>
                          <m:t>𝐺𝑟𝑜𝑢</m:t>
                        </m:r>
                        <m:sSub>
                          <m:sSubPr>
                            <m:ctrlPr>
                              <a:rPr lang="en-US" sz="1100" b="0" i="1">
                                <a:latin typeface="Cambria Math" panose="02040503050406030204" pitchFamily="18" charset="0"/>
                              </a:rPr>
                            </m:ctrlPr>
                          </m:sSubPr>
                          <m:e>
                            <m:r>
                              <a:rPr lang="en-US" sz="1100" b="0" i="1">
                                <a:latin typeface="Cambria Math" panose="02040503050406030204" pitchFamily="18" charset="0"/>
                              </a:rPr>
                              <m:t>𝑝</m:t>
                            </m:r>
                          </m:e>
                          <m:sub>
                            <m:r>
                              <a:rPr lang="en-US" sz="1100" b="0" i="1">
                                <a:latin typeface="Cambria Math" panose="02040503050406030204" pitchFamily="18" charset="0"/>
                              </a:rPr>
                              <m:t>𝑖</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𝐶𝑅𝐿</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𝐼𝑛𝑑𝑒</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𝑥</m:t>
                            </m:r>
                          </m:e>
                          <m:sub>
                            <m:r>
                              <a:rPr lang="en-US" sz="1100" b="0" i="1">
                                <a:latin typeface="Cambria Math" panose="02040503050406030204" pitchFamily="18" charset="0"/>
                                <a:ea typeface="Cambria Math" panose="02040503050406030204" pitchFamily="18" charset="0"/>
                              </a:rPr>
                              <m:t>𝑖</m:t>
                            </m:r>
                          </m:sub>
                        </m:sSub>
                      </m:e>
                    </m:nary>
                  </m:oMath>
                </m:oMathPara>
              </a14:m>
              <a:endParaRPr lang="en-US" sz="1100"/>
            </a:p>
          </xdr:txBody>
        </xdr:sp>
      </mc:Choice>
      <mc:Fallback xmlns="">
        <xdr:sp macro="" textlink="">
          <xdr:nvSpPr>
            <xdr:cNvPr id="4" name="TextBox 3">
              <a:extLst>
                <a:ext uri="{FF2B5EF4-FFF2-40B4-BE49-F238E27FC236}">
                  <a16:creationId xmlns:a16="http://schemas.microsoft.com/office/drawing/2014/main" id="{762E84D5-CC40-944B-AC06-453F79F82BC5}"/>
                </a:ext>
              </a:extLst>
            </xdr:cNvPr>
            <xdr:cNvSpPr txBox="1"/>
          </xdr:nvSpPr>
          <xdr:spPr>
            <a:xfrm>
              <a:off x="1058333" y="11260667"/>
              <a:ext cx="421968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𝐴𝑣𝑒𝑟𝑎𝑔𝑒 𝐶𝑅𝐿 𝐼𝑛𝑑𝑒𝑥=∑▒〖%𝐸𝑃 𝑖𝑛 𝑅𝑎𝑡𝑒 𝐿𝑒𝑣𝑒𝑙 𝐺𝑟𝑜𝑢𝑝_𝑖</a:t>
              </a:r>
              <a:r>
                <a:rPr lang="en-US" sz="1100" b="0" i="0">
                  <a:latin typeface="Cambria Math" panose="02040503050406030204" pitchFamily="18" charset="0"/>
                  <a:ea typeface="Cambria Math" panose="02040503050406030204" pitchFamily="18" charset="0"/>
                </a:rPr>
                <a:t>×𝐶𝑅𝐿 𝐼𝑛𝑑𝑒𝑥_𝑖 〗</a:t>
              </a:r>
              <a:endParaRPr lang="en-US" sz="1100"/>
            </a:p>
          </xdr:txBody>
        </xdr:sp>
      </mc:Fallback>
    </mc:AlternateContent>
    <xdr:clientData/>
  </xdr:oneCellAnchor>
  <xdr:oneCellAnchor>
    <xdr:from>
      <xdr:col>1</xdr:col>
      <xdr:colOff>201084</xdr:colOff>
      <xdr:row>71</xdr:row>
      <xdr:rowOff>10584</xdr:rowOff>
    </xdr:from>
    <xdr:ext cx="2554161" cy="443391"/>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30F58BA7-E00B-7049-8CF3-AD81E05F6E6E}"/>
                </a:ext>
              </a:extLst>
            </xdr:cNvPr>
            <xdr:cNvSpPr txBox="1"/>
          </xdr:nvSpPr>
          <xdr:spPr>
            <a:xfrm>
              <a:off x="1026584" y="14425084"/>
              <a:ext cx="2554161"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𝑂𝑛</m:t>
                    </m:r>
                    <m:r>
                      <m:rPr>
                        <m:nor/>
                      </m:rPr>
                      <a:rPr lang="en-US" sz="1100" b="0" i="0">
                        <a:latin typeface="Cambria Math" panose="02040503050406030204" pitchFamily="18" charset="0"/>
                      </a:rPr>
                      <m:t>−</m:t>
                    </m:r>
                    <m:r>
                      <a:rPr lang="en-US" sz="1100" b="0" i="1">
                        <a:latin typeface="Cambria Math" panose="02040503050406030204" pitchFamily="18" charset="0"/>
                      </a:rPr>
                      <m:t>𝐿𝑒𝑣𝑒𝑙</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𝐶𝑢𝑟𝑟𝑒𝑛𝑡</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𝐼𝑛𝑑𝑒𝑥</m:t>
                        </m:r>
                      </m:num>
                      <m:den>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 </m:t>
                        </m:r>
                        <m:r>
                          <a:rPr lang="en-US" sz="1100" b="0" i="1">
                            <a:latin typeface="Cambria Math" panose="02040503050406030204" pitchFamily="18" charset="0"/>
                          </a:rPr>
                          <m:t>𝐼𝑛𝑑𝑒𝑥</m:t>
                        </m:r>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30F58BA7-E00B-7049-8CF3-AD81E05F6E6E}"/>
                </a:ext>
              </a:extLst>
            </xdr:cNvPr>
            <xdr:cNvSpPr txBox="1"/>
          </xdr:nvSpPr>
          <xdr:spPr>
            <a:xfrm>
              <a:off x="1026584" y="14425084"/>
              <a:ext cx="2554161" cy="4433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𝑂𝑛"-" 𝐿𝑒𝑣𝑒𝑙 𝐹𝑎𝑐𝑡𝑜𝑟=(𝐶𝑢𝑟𝑟𝑒𝑛𝑡 𝐶𝑅𝐿 𝐼𝑛𝑑𝑒𝑥)/(𝐴𝑣𝑒𝑟𝑎𝑔𝑒 𝐶𝑅𝐿 𝐼𝑛𝑑𝑒𝑥)</a:t>
              </a:r>
              <a:endParaRPr lang="en-US" sz="1100"/>
            </a:p>
          </xdr:txBody>
        </xdr:sp>
      </mc:Fallback>
    </mc:AlternateContent>
    <xdr:clientData/>
  </xdr:oneCellAnchor>
  <xdr:oneCellAnchor>
    <xdr:from>
      <xdr:col>1</xdr:col>
      <xdr:colOff>201084</xdr:colOff>
      <xdr:row>82</xdr:row>
      <xdr:rowOff>190501</xdr:rowOff>
    </xdr:from>
    <xdr:ext cx="3366626" cy="26456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39DE600C-BD8F-C34D-84D0-274B87DFD884}"/>
                </a:ext>
              </a:extLst>
            </xdr:cNvPr>
            <xdr:cNvSpPr txBox="1"/>
          </xdr:nvSpPr>
          <xdr:spPr>
            <a:xfrm>
              <a:off x="1026584" y="16816918"/>
              <a:ext cx="3366626"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𝑂𝑛</m:t>
                    </m:r>
                    <m:r>
                      <m:rPr>
                        <m:nor/>
                      </m:rPr>
                      <a:rPr lang="en-US" sz="1100" b="0" i="0">
                        <a:latin typeface="Cambria Math" panose="02040503050406030204" pitchFamily="18" charset="0"/>
                      </a:rPr>
                      <m:t>−</m:t>
                    </m:r>
                    <m:r>
                      <a:rPr lang="en-US" sz="1100" b="0" i="1">
                        <a:latin typeface="Cambria Math" panose="02040503050406030204" pitchFamily="18" charset="0"/>
                      </a:rPr>
                      <m:t>𝐿𝑒𝑣𝑒𝑙</m:t>
                    </m:r>
                    <m:r>
                      <a:rPr lang="en-US" sz="1100" b="0" i="1">
                        <a:latin typeface="Cambria Math" panose="02040503050406030204" pitchFamily="18" charset="0"/>
                      </a:rPr>
                      <m:t> </m:t>
                    </m:r>
                    <m:r>
                      <a:rPr lang="en-US" sz="1100" b="0" i="1">
                        <a:latin typeface="Cambria Math" panose="02040503050406030204" pitchFamily="18" charset="0"/>
                      </a:rPr>
                      <m:t>𝐸𝑃</m:t>
                    </m:r>
                    <m:r>
                      <a:rPr lang="en-US" sz="1100" b="0" i="1">
                        <a:latin typeface="Cambria Math" panose="02040503050406030204" pitchFamily="18" charset="0"/>
                      </a:rPr>
                      <m:t>=</m:t>
                    </m:r>
                    <m:r>
                      <a:rPr lang="en-US" sz="1100" b="0" i="1">
                        <a:latin typeface="Cambria Math" panose="02040503050406030204" pitchFamily="18" charset="0"/>
                      </a:rPr>
                      <m:t>𝑂𝑛</m:t>
                    </m:r>
                    <m:r>
                      <m:rPr>
                        <m:nor/>
                      </m:rPr>
                      <a:rPr lang="en-US" sz="1100" b="0" i="0">
                        <a:latin typeface="Cambria Math" panose="02040503050406030204" pitchFamily="18" charset="0"/>
                      </a:rPr>
                      <m:t>−</m:t>
                    </m:r>
                    <m:r>
                      <a:rPr lang="en-US" sz="1100" b="0" i="1">
                        <a:latin typeface="Cambria Math" panose="02040503050406030204" pitchFamily="18" charset="0"/>
                      </a:rPr>
                      <m:t>𝐿𝑒𝑣𝑒𝑙</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𝐸𝑎𝑟𝑛𝑒𝑑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𝑃𝑟𝑒𝑚𝑖𝑢𝑚</m:t>
                    </m:r>
                  </m:oMath>
                </m:oMathPara>
              </a14:m>
              <a:endParaRPr lang="en-US" sz="1100"/>
            </a:p>
          </xdr:txBody>
        </xdr:sp>
      </mc:Choice>
      <mc:Fallback xmlns="">
        <xdr:sp macro="" textlink="">
          <xdr:nvSpPr>
            <xdr:cNvPr id="6" name="TextBox 5">
              <a:extLst>
                <a:ext uri="{FF2B5EF4-FFF2-40B4-BE49-F238E27FC236}">
                  <a16:creationId xmlns:a16="http://schemas.microsoft.com/office/drawing/2014/main" id="{39DE600C-BD8F-C34D-84D0-274B87DFD884}"/>
                </a:ext>
              </a:extLst>
            </xdr:cNvPr>
            <xdr:cNvSpPr txBox="1"/>
          </xdr:nvSpPr>
          <xdr:spPr>
            <a:xfrm>
              <a:off x="1026584" y="16816918"/>
              <a:ext cx="3366626"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𝑂𝑛"-" 𝐿𝑒𝑣𝑒𝑙 𝐸𝑃=𝑂𝑛"-" 𝐿𝑒𝑣𝑒𝑙 𝐹𝑎𝑐𝑡𝑜𝑟</a:t>
              </a:r>
              <a:r>
                <a:rPr lang="en-US" sz="1100" b="0" i="0">
                  <a:latin typeface="Cambria Math" panose="02040503050406030204" pitchFamily="18" charset="0"/>
                  <a:ea typeface="Cambria Math" panose="02040503050406030204" pitchFamily="18" charset="0"/>
                </a:rPr>
                <a:t>×𝐸𝑎𝑟𝑛𝑒𝑑 𝑃𝑟𝑒𝑚𝑖𝑢𝑚</a:t>
              </a:r>
              <a:endParaRPr lang="en-US" sz="1100"/>
            </a:p>
          </xdr:txBody>
        </xdr:sp>
      </mc:Fallback>
    </mc:AlternateContent>
    <xdr:clientData/>
  </xdr:oneCellAnchor>
  <xdr:twoCellAnchor editAs="oneCell">
    <xdr:from>
      <xdr:col>1</xdr:col>
      <xdr:colOff>84666</xdr:colOff>
      <xdr:row>38</xdr:row>
      <xdr:rowOff>42335</xdr:rowOff>
    </xdr:from>
    <xdr:to>
      <xdr:col>8</xdr:col>
      <xdr:colOff>45719</xdr:colOff>
      <xdr:row>50</xdr:row>
      <xdr:rowOff>191862</xdr:rowOff>
    </xdr:to>
    <xdr:pic>
      <xdr:nvPicPr>
        <xdr:cNvPr id="7" name="Picture 6">
          <a:extLst>
            <a:ext uri="{FF2B5EF4-FFF2-40B4-BE49-F238E27FC236}">
              <a16:creationId xmlns:a16="http://schemas.microsoft.com/office/drawing/2014/main" id="{261C7EAC-B43A-56A8-699D-EBBEA4668A1F}"/>
            </a:ext>
          </a:extLst>
        </xdr:cNvPr>
        <xdr:cNvPicPr>
          <a:picLocks noChangeAspect="1"/>
        </xdr:cNvPicPr>
      </xdr:nvPicPr>
      <xdr:blipFill>
        <a:blip xmlns:r="http://schemas.openxmlformats.org/officeDocument/2006/relationships" r:embed="rId1"/>
        <a:stretch>
          <a:fillRect/>
        </a:stretch>
      </xdr:blipFill>
      <xdr:spPr>
        <a:xfrm>
          <a:off x="910166" y="8159752"/>
          <a:ext cx="5760720" cy="2562527"/>
        </a:xfrm>
        <a:prstGeom prst="rect">
          <a:avLst/>
        </a:prstGeom>
      </xdr:spPr>
    </xdr:pic>
    <xdr:clientData/>
  </xdr:twoCellAnchor>
  <xdr:twoCellAnchor editAs="oneCell">
    <xdr:from>
      <xdr:col>0</xdr:col>
      <xdr:colOff>772584</xdr:colOff>
      <xdr:row>93</xdr:row>
      <xdr:rowOff>21166</xdr:rowOff>
    </xdr:from>
    <xdr:to>
      <xdr:col>10</xdr:col>
      <xdr:colOff>21929</xdr:colOff>
      <xdr:row>105</xdr:row>
      <xdr:rowOff>173003</xdr:rowOff>
    </xdr:to>
    <xdr:pic>
      <xdr:nvPicPr>
        <xdr:cNvPr id="8" name="Picture 7">
          <a:extLst>
            <a:ext uri="{FF2B5EF4-FFF2-40B4-BE49-F238E27FC236}">
              <a16:creationId xmlns:a16="http://schemas.microsoft.com/office/drawing/2014/main" id="{EDA5288F-ED4D-B2B1-6320-0A2E4E769970}"/>
            </a:ext>
          </a:extLst>
        </xdr:cNvPr>
        <xdr:cNvPicPr>
          <a:picLocks noChangeAspect="1"/>
        </xdr:cNvPicPr>
      </xdr:nvPicPr>
      <xdr:blipFill>
        <a:blip xmlns:r="http://schemas.openxmlformats.org/officeDocument/2006/relationships" r:embed="rId2"/>
        <a:stretch>
          <a:fillRect/>
        </a:stretch>
      </xdr:blipFill>
      <xdr:spPr>
        <a:xfrm>
          <a:off x="772584" y="19198166"/>
          <a:ext cx="7525512" cy="2564837"/>
        </a:xfrm>
        <a:prstGeom prst="rect">
          <a:avLst/>
        </a:prstGeom>
      </xdr:spPr>
    </xdr:pic>
    <xdr:clientData/>
  </xdr:twoCellAnchor>
  <xdr:twoCellAnchor editAs="oneCell">
    <xdr:from>
      <xdr:col>1</xdr:col>
      <xdr:colOff>190500</xdr:colOff>
      <xdr:row>153</xdr:row>
      <xdr:rowOff>10582</xdr:rowOff>
    </xdr:from>
    <xdr:to>
      <xdr:col>8</xdr:col>
      <xdr:colOff>142409</xdr:colOff>
      <xdr:row>165</xdr:row>
      <xdr:rowOff>156042</xdr:rowOff>
    </xdr:to>
    <xdr:pic>
      <xdr:nvPicPr>
        <xdr:cNvPr id="9" name="Picture 8">
          <a:extLst>
            <a:ext uri="{FF2B5EF4-FFF2-40B4-BE49-F238E27FC236}">
              <a16:creationId xmlns:a16="http://schemas.microsoft.com/office/drawing/2014/main" id="{E9086036-A8B6-4CA8-228F-D3A957CB9930}"/>
            </a:ext>
          </a:extLst>
        </xdr:cNvPr>
        <xdr:cNvPicPr>
          <a:picLocks noChangeAspect="1"/>
        </xdr:cNvPicPr>
      </xdr:nvPicPr>
      <xdr:blipFill>
        <a:blip xmlns:r="http://schemas.openxmlformats.org/officeDocument/2006/relationships" r:embed="rId3"/>
        <a:stretch>
          <a:fillRect/>
        </a:stretch>
      </xdr:blipFill>
      <xdr:spPr>
        <a:xfrm>
          <a:off x="1016000" y="28765499"/>
          <a:ext cx="5751576" cy="2558460"/>
        </a:xfrm>
        <a:prstGeom prst="rect">
          <a:avLst/>
        </a:prstGeom>
      </xdr:spPr>
    </xdr:pic>
    <xdr:clientData/>
  </xdr:twoCellAnchor>
  <xdr:twoCellAnchor editAs="oneCell">
    <xdr:from>
      <xdr:col>1</xdr:col>
      <xdr:colOff>370417</xdr:colOff>
      <xdr:row>199</xdr:row>
      <xdr:rowOff>1</xdr:rowOff>
    </xdr:from>
    <xdr:to>
      <xdr:col>8</xdr:col>
      <xdr:colOff>331470</xdr:colOff>
      <xdr:row>211</xdr:row>
      <xdr:rowOff>149528</xdr:rowOff>
    </xdr:to>
    <xdr:pic>
      <xdr:nvPicPr>
        <xdr:cNvPr id="10" name="Picture 9">
          <a:extLst>
            <a:ext uri="{FF2B5EF4-FFF2-40B4-BE49-F238E27FC236}">
              <a16:creationId xmlns:a16="http://schemas.microsoft.com/office/drawing/2014/main" id="{F9B274C5-AB26-8433-A412-B5928A5BF49D}"/>
            </a:ext>
          </a:extLst>
        </xdr:cNvPr>
        <xdr:cNvPicPr>
          <a:picLocks noChangeAspect="1"/>
        </xdr:cNvPicPr>
      </xdr:nvPicPr>
      <xdr:blipFill>
        <a:blip xmlns:r="http://schemas.openxmlformats.org/officeDocument/2006/relationships" r:embed="rId4"/>
        <a:stretch>
          <a:fillRect/>
        </a:stretch>
      </xdr:blipFill>
      <xdr:spPr>
        <a:xfrm>
          <a:off x="1195917" y="38100001"/>
          <a:ext cx="5760720" cy="25625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179917</xdr:colOff>
      <xdr:row>22</xdr:row>
      <xdr:rowOff>116417</xdr:rowOff>
    </xdr:from>
    <xdr:ext cx="2360390" cy="437812"/>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7101CD5A-054E-1741-8459-8A5F7BE48E42}"/>
                </a:ext>
              </a:extLst>
            </xdr:cNvPr>
            <xdr:cNvSpPr txBox="1"/>
          </xdr:nvSpPr>
          <xdr:spPr>
            <a:xfrm>
              <a:off x="1005417" y="4635500"/>
              <a:ext cx="2360390" cy="437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𝐴𝑔𝑒</m:t>
                    </m:r>
                    <m:r>
                      <m:rPr>
                        <m:nor/>
                      </m:rPr>
                      <a:rPr lang="en-US" sz="1100" b="0" i="0">
                        <a:latin typeface="Cambria Math" panose="02040503050406030204" pitchFamily="18" charset="0"/>
                      </a:rPr>
                      <m:t>−</m:t>
                    </m:r>
                    <m:r>
                      <a:rPr lang="en-US" sz="1100" b="0" i="1">
                        <a:latin typeface="Cambria Math" panose="02040503050406030204" pitchFamily="18" charset="0"/>
                      </a:rPr>
                      <m:t>𝑡𝑜</m:t>
                    </m:r>
                    <m:r>
                      <m:rPr>
                        <m:nor/>
                      </m:rPr>
                      <a:rPr lang="en-US" sz="1100" b="0" i="0">
                        <a:latin typeface="Cambria Math" panose="02040503050406030204" pitchFamily="18" charset="0"/>
                      </a:rPr>
                      <m:t>−</m:t>
                    </m:r>
                    <m:r>
                      <a:rPr lang="en-US" sz="1100" b="0" i="1">
                        <a:latin typeface="Cambria Math" panose="02040503050406030204" pitchFamily="18" charset="0"/>
                      </a:rPr>
                      <m:t>𝐴𝑔𝑒</m:t>
                    </m:r>
                    <m:r>
                      <a:rPr lang="en-US" sz="1100" b="0" i="1">
                        <a:latin typeface="Cambria Math" panose="02040503050406030204" pitchFamily="18" charset="0"/>
                      </a:rPr>
                      <m:t> </m:t>
                    </m:r>
                    <m:r>
                      <a:rPr lang="en-US" sz="1100" b="0" i="1">
                        <a:latin typeface="Cambria Math" panose="02040503050406030204" pitchFamily="18" charset="0"/>
                      </a:rPr>
                      <m:t>𝐹𝑎𝑐𝑡𝑜</m:t>
                    </m:r>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𝑡</m:t>
                        </m:r>
                      </m:sub>
                    </m:sSub>
                    <m:r>
                      <a:rPr lang="en-US" sz="1100" b="0" i="1">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𝑃𝑟𝑒𝑚𝑖𝑢𝑚</m:t>
                            </m:r>
                          </m:e>
                          <m:sub>
                            <m:r>
                              <a:rPr lang="en-US" sz="1100" b="0" i="1">
                                <a:latin typeface="Cambria Math" panose="02040503050406030204" pitchFamily="18" charset="0"/>
                              </a:rPr>
                              <m:t>𝑡</m:t>
                            </m:r>
                            <m:r>
                              <a:rPr lang="en-US" sz="1100" b="0" i="1">
                                <a:latin typeface="Cambria Math" panose="02040503050406030204" pitchFamily="18" charset="0"/>
                              </a:rPr>
                              <m:t>+1</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𝑃𝑟𝑒𝑚𝑖𝑢𝑚</m:t>
                            </m:r>
                          </m:e>
                          <m:sub>
                            <m:r>
                              <a:rPr lang="en-US" sz="1100" b="0" i="1">
                                <a:latin typeface="Cambria Math" panose="02040503050406030204" pitchFamily="18" charset="0"/>
                              </a:rPr>
                              <m:t>𝑡</m:t>
                            </m:r>
                          </m:sub>
                        </m:sSub>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7101CD5A-054E-1741-8459-8A5F7BE48E42}"/>
                </a:ext>
              </a:extLst>
            </xdr:cNvPr>
            <xdr:cNvSpPr txBox="1"/>
          </xdr:nvSpPr>
          <xdr:spPr>
            <a:xfrm>
              <a:off x="1005417" y="4635500"/>
              <a:ext cx="2360390" cy="437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𝐴𝑔𝑒"-" 𝑡𝑜"-" 𝐴𝑔𝑒 𝐹𝑎𝑐𝑡𝑜𝑟_𝑡=〖𝑃𝑟𝑒𝑚𝑖𝑢𝑚〗_(𝑡+1)/〖𝑃𝑟𝑒𝑚𝑖𝑢𝑚〗_𝑡 </a:t>
              </a:r>
              <a:endParaRPr lang="en-US" sz="1100"/>
            </a:p>
          </xdr:txBody>
        </xdr:sp>
      </mc:Fallback>
    </mc:AlternateContent>
    <xdr:clientData/>
  </xdr:oneCellAnchor>
  <xdr:oneCellAnchor>
    <xdr:from>
      <xdr:col>1</xdr:col>
      <xdr:colOff>719667</xdr:colOff>
      <xdr:row>56</xdr:row>
      <xdr:rowOff>10584</xdr:rowOff>
    </xdr:from>
    <xdr:ext cx="4380494" cy="26456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A8E4A56D-28CA-DB4B-9FE9-683D82E181F6}"/>
                </a:ext>
              </a:extLst>
            </xdr:cNvPr>
            <xdr:cNvSpPr txBox="1"/>
          </xdr:nvSpPr>
          <xdr:spPr>
            <a:xfrm>
              <a:off x="1545167" y="11366501"/>
              <a:ext cx="4380494"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𝑈𝑙𝑡𝑖𝑚𝑎𝑡𝑒</m:t>
                    </m:r>
                    <m:r>
                      <a:rPr lang="en-US" sz="1100" b="0" i="1">
                        <a:latin typeface="Cambria Math" panose="02040503050406030204" pitchFamily="18" charset="0"/>
                      </a:rPr>
                      <m:t> </m:t>
                    </m:r>
                    <m:r>
                      <a:rPr lang="en-US" sz="1100" b="0" i="1">
                        <a:latin typeface="Cambria Math" panose="02040503050406030204" pitchFamily="18" charset="0"/>
                      </a:rPr>
                      <m:t>𝑃𝑟𝑒𝑚𝑖𝑢𝑚</m:t>
                    </m:r>
                    <m:r>
                      <a:rPr lang="en-US" sz="1100" b="0" i="1">
                        <a:latin typeface="Cambria Math" panose="02040503050406030204" pitchFamily="18" charset="0"/>
                      </a:rPr>
                      <m:t>=</m:t>
                    </m:r>
                    <m:r>
                      <a:rPr lang="en-US" sz="1100" b="0" i="1">
                        <a:latin typeface="Cambria Math" panose="02040503050406030204" pitchFamily="18" charset="0"/>
                      </a:rPr>
                      <m:t>𝑃𝑟𝑒𝑚𝑖𝑢</m:t>
                    </m:r>
                    <m:sSub>
                      <m:sSubPr>
                        <m:ctrlPr>
                          <a:rPr lang="en-US" sz="1100" b="0" i="1">
                            <a:latin typeface="Cambria Math" panose="02040503050406030204" pitchFamily="18" charset="0"/>
                          </a:rPr>
                        </m:ctrlPr>
                      </m:sSubPr>
                      <m:e>
                        <m:r>
                          <a:rPr lang="en-US" sz="1100" b="0" i="1">
                            <a:latin typeface="Cambria Math" panose="02040503050406030204" pitchFamily="18" charset="0"/>
                          </a:rPr>
                          <m:t>𝑚</m:t>
                        </m:r>
                      </m:e>
                      <m:sub>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𝑙𝑎𝑡𝑒𝑠𝑡</m:t>
                        </m:r>
                        <m:r>
                          <a:rPr lang="en-US" sz="1100" b="0" i="1">
                            <a:latin typeface="Cambria Math" panose="02040503050406030204" pitchFamily="18" charset="0"/>
                          </a:rPr>
                          <m:t> </m:t>
                        </m:r>
                        <m:r>
                          <a:rPr lang="en-US" sz="1100" b="0" i="1">
                            <a:latin typeface="Cambria Math" panose="02040503050406030204" pitchFamily="18" charset="0"/>
                          </a:rPr>
                          <m:t>𝑣𝑎𝑙𝑢𝑎𝑡𝑖𝑜𝑛</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𝐴𝑔𝑒</m:t>
                    </m:r>
                    <m:r>
                      <m:rPr>
                        <m:nor/>
                      </m:rPr>
                      <a:rPr lang="en-US" sz="1100" b="0" i="0">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𝑡𝑜</m:t>
                    </m:r>
                    <m:r>
                      <m:rPr>
                        <m:nor/>
                      </m:rPr>
                      <a:rPr lang="en-US" sz="1100" b="0" i="0">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𝑈𝑙𝑡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𝑟</m:t>
                        </m:r>
                      </m:e>
                      <m:sub>
                        <m:r>
                          <a:rPr lang="en-US" sz="1100" b="0" i="1">
                            <a:latin typeface="Cambria Math" panose="02040503050406030204" pitchFamily="18" charset="0"/>
                            <a:ea typeface="Cambria Math" panose="02040503050406030204" pitchFamily="18" charset="0"/>
                          </a:rPr>
                          <m:t>𝑡</m:t>
                        </m:r>
                      </m:sub>
                    </m:sSub>
                  </m:oMath>
                </m:oMathPara>
              </a14:m>
              <a:endParaRPr lang="en-US" sz="1100"/>
            </a:p>
          </xdr:txBody>
        </xdr:sp>
      </mc:Choice>
      <mc:Fallback xmlns="">
        <xdr:sp macro="" textlink="">
          <xdr:nvSpPr>
            <xdr:cNvPr id="4" name="TextBox 3">
              <a:extLst>
                <a:ext uri="{FF2B5EF4-FFF2-40B4-BE49-F238E27FC236}">
                  <a16:creationId xmlns:a16="http://schemas.microsoft.com/office/drawing/2014/main" id="{A8E4A56D-28CA-DB4B-9FE9-683D82E181F6}"/>
                </a:ext>
              </a:extLst>
            </xdr:cNvPr>
            <xdr:cNvSpPr txBox="1"/>
          </xdr:nvSpPr>
          <xdr:spPr>
            <a:xfrm>
              <a:off x="1545167" y="11366501"/>
              <a:ext cx="4380494"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𝑈𝑙𝑡𝑖𝑚𝑎𝑡𝑒 𝑃𝑟𝑒𝑚𝑖𝑢𝑚=𝑃𝑟𝑒𝑚𝑖𝑢𝑚_(𝑎𝑡 𝑙𝑎𝑡𝑒𝑠𝑡 𝑣𝑎𝑙𝑢𝑎𝑡𝑖𝑜𝑛)</a:t>
              </a:r>
              <a:r>
                <a:rPr lang="en-US" sz="1100" b="0" i="0">
                  <a:latin typeface="Cambria Math" panose="02040503050406030204" pitchFamily="18" charset="0"/>
                  <a:ea typeface="Cambria Math" panose="02040503050406030204" pitchFamily="18" charset="0"/>
                </a:rPr>
                <a:t>×𝐴𝑔𝑒"-" 𝑡𝑜"-" 𝑈𝑙𝑡 𝐹𝑎𝑐𝑡𝑜𝑟_𝑡</a:t>
              </a:r>
              <a:endParaRPr lang="en-US" sz="1100"/>
            </a:p>
          </xdr:txBody>
        </xdr:sp>
      </mc:Fallback>
    </mc:AlternateContent>
    <xdr:clientData/>
  </xdr:oneCellAnchor>
  <xdr:oneCellAnchor>
    <xdr:from>
      <xdr:col>1</xdr:col>
      <xdr:colOff>232834</xdr:colOff>
      <xdr:row>46</xdr:row>
      <xdr:rowOff>95250</xdr:rowOff>
    </xdr:from>
    <xdr:ext cx="2925609" cy="571695"/>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548DBC5B-C2D0-D54A-90A3-91C597AAC484}"/>
                </a:ext>
              </a:extLst>
            </xdr:cNvPr>
            <xdr:cNvSpPr txBox="1"/>
          </xdr:nvSpPr>
          <xdr:spPr>
            <a:xfrm>
              <a:off x="1058334" y="9440333"/>
              <a:ext cx="2925609" cy="57169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𝐴𝑔𝑒</m:t>
                    </m:r>
                    <m:r>
                      <m:rPr>
                        <m:nor/>
                      </m:rPr>
                      <a:rPr lang="en-US" sz="1100" b="0" i="0">
                        <a:latin typeface="Cambria Math" panose="02040503050406030204" pitchFamily="18" charset="0"/>
                      </a:rPr>
                      <m:t>−</m:t>
                    </m:r>
                    <m:r>
                      <a:rPr lang="en-US" sz="1100" b="0" i="1">
                        <a:latin typeface="Cambria Math" panose="02040503050406030204" pitchFamily="18" charset="0"/>
                      </a:rPr>
                      <m:t>𝑡𝑜</m:t>
                    </m:r>
                    <m:r>
                      <m:rPr>
                        <m:nor/>
                      </m:rPr>
                      <a:rPr lang="en-US" sz="1100" b="0" i="0">
                        <a:latin typeface="Cambria Math" panose="02040503050406030204" pitchFamily="18" charset="0"/>
                      </a:rPr>
                      <m:t>−</m:t>
                    </m:r>
                    <m:r>
                      <a:rPr lang="en-US" sz="1100" b="0" i="1">
                        <a:latin typeface="Cambria Math" panose="02040503050406030204" pitchFamily="18" charset="0"/>
                      </a:rPr>
                      <m:t>𝑈𝑙𝑡</m:t>
                    </m:r>
                    <m:r>
                      <a:rPr lang="en-US" sz="1100" b="0" i="1">
                        <a:latin typeface="Cambria Math" panose="02040503050406030204" pitchFamily="18" charset="0"/>
                      </a:rPr>
                      <m:t> </m:t>
                    </m:r>
                    <m:r>
                      <a:rPr lang="en-US" sz="1100" b="0" i="1">
                        <a:latin typeface="Cambria Math" panose="02040503050406030204" pitchFamily="18" charset="0"/>
                      </a:rPr>
                      <m:t>𝐹𝑎𝑐𝑡𝑜</m:t>
                    </m:r>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𝑡</m:t>
                        </m:r>
                      </m:sub>
                    </m:sSub>
                    <m:r>
                      <a:rPr lang="en-US" sz="1100" b="0" i="1">
                        <a:latin typeface="Cambria Math" panose="02040503050406030204" pitchFamily="18" charset="0"/>
                      </a:rPr>
                      <m:t>=</m:t>
                    </m:r>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m:t>
                        </m:r>
                        <m:r>
                          <a:rPr lang="en-US" sz="1100" b="0" i="1">
                            <a:latin typeface="Cambria Math" panose="02040503050406030204" pitchFamily="18" charset="0"/>
                          </a:rPr>
                          <m:t>𝑡</m:t>
                        </m:r>
                      </m:sub>
                      <m:sup>
                        <m:r>
                          <a:rPr lang="en-US" sz="1100" b="0" i="1">
                            <a:latin typeface="Cambria Math" panose="02040503050406030204" pitchFamily="18" charset="0"/>
                          </a:rPr>
                          <m:t>𝑈𝑙𝑡</m:t>
                        </m:r>
                      </m:sup>
                      <m:e>
                        <m:r>
                          <a:rPr lang="en-US" sz="1100" b="0" i="1">
                            <a:latin typeface="Cambria Math" panose="02040503050406030204" pitchFamily="18" charset="0"/>
                          </a:rPr>
                          <m:t>𝐴𝑔𝑒</m:t>
                        </m:r>
                        <m:r>
                          <m:rPr>
                            <m:nor/>
                          </m:rPr>
                          <a:rPr lang="en-US" sz="1100" b="0" i="0">
                            <a:latin typeface="Cambria Math" panose="02040503050406030204" pitchFamily="18" charset="0"/>
                          </a:rPr>
                          <m:t>−</m:t>
                        </m:r>
                        <m:r>
                          <a:rPr lang="en-US" sz="1100" b="0" i="1">
                            <a:latin typeface="Cambria Math" panose="02040503050406030204" pitchFamily="18" charset="0"/>
                          </a:rPr>
                          <m:t>𝑡𝑜</m:t>
                        </m:r>
                        <m:r>
                          <m:rPr>
                            <m:nor/>
                          </m:rPr>
                          <a:rPr lang="en-US" sz="1100" b="0" i="0">
                            <a:latin typeface="Cambria Math" panose="02040503050406030204" pitchFamily="18" charset="0"/>
                          </a:rPr>
                          <m:t>−</m:t>
                        </m:r>
                        <m:r>
                          <a:rPr lang="en-US" sz="1100" b="0" i="1">
                            <a:latin typeface="Cambria Math" panose="02040503050406030204" pitchFamily="18" charset="0"/>
                          </a:rPr>
                          <m:t>𝐴𝑔𝑒</m:t>
                        </m:r>
                        <m:r>
                          <a:rPr lang="en-US" sz="1100" b="0" i="1">
                            <a:latin typeface="Cambria Math" panose="02040503050406030204" pitchFamily="18" charset="0"/>
                          </a:rPr>
                          <m:t> </m:t>
                        </m:r>
                        <m:r>
                          <a:rPr lang="en-US" sz="1100" b="0" i="1">
                            <a:latin typeface="Cambria Math" panose="02040503050406030204" pitchFamily="18" charset="0"/>
                          </a:rPr>
                          <m:t>𝐹𝑎𝑐𝑡𝑜</m:t>
                        </m:r>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𝑖</m:t>
                            </m:r>
                          </m:sub>
                        </m:sSub>
                      </m:e>
                    </m:nary>
                  </m:oMath>
                </m:oMathPara>
              </a14:m>
              <a:endParaRPr lang="en-US" sz="1100"/>
            </a:p>
          </xdr:txBody>
        </xdr:sp>
      </mc:Choice>
      <mc:Fallback xmlns="">
        <xdr:sp macro="" textlink="">
          <xdr:nvSpPr>
            <xdr:cNvPr id="3" name="TextBox 2">
              <a:extLst>
                <a:ext uri="{FF2B5EF4-FFF2-40B4-BE49-F238E27FC236}">
                  <a16:creationId xmlns:a16="http://schemas.microsoft.com/office/drawing/2014/main" id="{548DBC5B-C2D0-D54A-90A3-91C597AAC484}"/>
                </a:ext>
              </a:extLst>
            </xdr:cNvPr>
            <xdr:cNvSpPr txBox="1"/>
          </xdr:nvSpPr>
          <xdr:spPr>
            <a:xfrm>
              <a:off x="1058334" y="9440333"/>
              <a:ext cx="2925609" cy="57169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𝐴𝑔𝑒"-" 𝑡𝑜"-" 𝑈𝑙𝑡 𝐹𝑎𝑐𝑡𝑜𝑟_𝑡=∏_(𝑖=𝑡)^𝑈𝑙𝑡▒〖𝐴𝑔𝑒"-" 𝑡𝑜"-" 𝐴𝑔𝑒 𝐹𝑎𝑐𝑡𝑜𝑟_𝑖 〗</a:t>
              </a:r>
              <a:endParaRPr lang="en-US" sz="1100"/>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oneCellAnchor>
    <xdr:from>
      <xdr:col>1</xdr:col>
      <xdr:colOff>222250</xdr:colOff>
      <xdr:row>64</xdr:row>
      <xdr:rowOff>179917</xdr:rowOff>
    </xdr:from>
    <xdr:ext cx="6028124" cy="264431"/>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D5FF097D-3067-1A44-AC46-D2C58AA16452}"/>
                </a:ext>
              </a:extLst>
            </xdr:cNvPr>
            <xdr:cNvSpPr txBox="1"/>
          </xdr:nvSpPr>
          <xdr:spPr>
            <a:xfrm>
              <a:off x="1047750" y="13165667"/>
              <a:ext cx="6028124"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1</m:t>
                    </m:r>
                    <m:r>
                      <m:rPr>
                        <m:nor/>
                      </m:rPr>
                      <a:rPr lang="en-US" sz="1100" b="0" i="0">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𝑆𝑡𝑒𝑝</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𝑇𝑟𝑒𝑛𝑑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𝑃𝑒𝑟𝑖𝑜𝑑</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𝐻𝑖𝑠𝑡𝑜𝑟𝑖𝑐𝑎𝑙</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𝐴𝑣𝑒𝑟𝑎𝑔𝑒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𝐷𝑎𝑡𝑒</m:t>
                    </m:r>
                    <m:r>
                      <a:rPr lang="en-US" sz="1100" b="0" i="1">
                        <a:solidFill>
                          <a:schemeClr val="tx1"/>
                        </a:solidFill>
                        <a:latin typeface="Cambria Math" panose="02040503050406030204" pitchFamily="18" charset="0"/>
                      </a:rPr>
                      <m:t> → </m:t>
                    </m:r>
                    <m:r>
                      <a:rPr lang="en-US" sz="1100" b="0" i="1">
                        <a:solidFill>
                          <a:schemeClr val="tx1"/>
                        </a:solidFill>
                        <a:latin typeface="Cambria Math" panose="02040503050406030204" pitchFamily="18" charset="0"/>
                      </a:rPr>
                      <m:t>𝐸𝑓𝑓𝑒𝑐𝑡𝑖𝑣𝑒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𝐴𝑣𝑒𝑟𝑎𝑔𝑒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𝐷𝑎𝑡𝑒</m:t>
                    </m:r>
                  </m:oMath>
                </m:oMathPara>
              </a14:m>
              <a:endParaRPr lang="en-US" sz="1100">
                <a:solidFill>
                  <a:schemeClr val="tx1"/>
                </a:solidFill>
              </a:endParaRPr>
            </a:p>
          </xdr:txBody>
        </xdr:sp>
      </mc:Choice>
      <mc:Fallback xmlns="">
        <xdr:sp macro="" textlink="">
          <xdr:nvSpPr>
            <xdr:cNvPr id="4" name="TextBox 3">
              <a:extLst>
                <a:ext uri="{FF2B5EF4-FFF2-40B4-BE49-F238E27FC236}">
                  <a16:creationId xmlns:a16="http://schemas.microsoft.com/office/drawing/2014/main" id="{D5FF097D-3067-1A44-AC46-D2C58AA16452}"/>
                </a:ext>
              </a:extLst>
            </xdr:cNvPr>
            <xdr:cNvSpPr txBox="1"/>
          </xdr:nvSpPr>
          <xdr:spPr>
            <a:xfrm>
              <a:off x="1047750" y="13165667"/>
              <a:ext cx="6028124"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1"-" 𝑆𝑡𝑒𝑝 𝑇𝑟𝑒𝑛𝑑 𝑃𝑒𝑟𝑖𝑜𝑑=𝐻𝑖𝑠𝑡𝑜𝑟𝑖𝑐𝑎𝑙 𝐴𝑣𝑒𝑟𝑎𝑔𝑒 𝑊𝑟𝑖𝑡𝑡𝑒𝑛 𝐷𝑎𝑡𝑒 </a:t>
              </a:r>
              <a:r>
                <a:rPr lang="en-US" sz="1100" b="0" i="0">
                  <a:solidFill>
                    <a:schemeClr val="tx1"/>
                  </a:solidFill>
                  <a:latin typeface="Cambria Math" panose="02040503050406030204" pitchFamily="18" charset="0"/>
                  <a:ea typeface="Cambria Math" panose="02040503050406030204" pitchFamily="18" charset="0"/>
                </a:rPr>
                <a:t>→</a:t>
              </a:r>
              <a:r>
                <a:rPr lang="en-US" sz="1100" b="0" i="0">
                  <a:solidFill>
                    <a:schemeClr val="tx1"/>
                  </a:solidFill>
                  <a:latin typeface="Cambria Math" panose="02040503050406030204" pitchFamily="18" charset="0"/>
                </a:rPr>
                <a:t> 𝐸𝑓𝑓𝑒𝑐𝑡𝑖𝑣𝑒 𝐴𝑣𝑒𝑟𝑎𝑔𝑒 𝑊𝑟𝑖𝑡𝑡𝑒𝑛 𝐷𝑎𝑡𝑒</a:t>
              </a:r>
              <a:endParaRPr lang="en-US" sz="1100">
                <a:solidFill>
                  <a:schemeClr val="tx1"/>
                </a:solidFill>
              </a:endParaRPr>
            </a:p>
          </xdr:txBody>
        </xdr:sp>
      </mc:Fallback>
    </mc:AlternateContent>
    <xdr:clientData/>
  </xdr:oneCellAnchor>
  <xdr:oneCellAnchor>
    <xdr:from>
      <xdr:col>1</xdr:col>
      <xdr:colOff>783167</xdr:colOff>
      <xdr:row>84</xdr:row>
      <xdr:rowOff>148168</xdr:rowOff>
    </xdr:from>
    <xdr:ext cx="4441985" cy="265586"/>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FDE413EF-0976-3A4A-93A5-FFEA376EF4F6}"/>
                </a:ext>
              </a:extLst>
            </xdr:cNvPr>
            <xdr:cNvSpPr txBox="1"/>
          </xdr:nvSpPr>
          <xdr:spPr>
            <a:xfrm>
              <a:off x="1608667" y="14139335"/>
              <a:ext cx="4441985" cy="2655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𝑃𝑟𝑜𝑗𝑒𝑐𝑡𝑒𝑑</m:t>
                    </m:r>
                    <m:r>
                      <a:rPr lang="en-US" sz="1100" b="0" i="1">
                        <a:latin typeface="Cambria Math" panose="02040503050406030204" pitchFamily="18" charset="0"/>
                      </a:rPr>
                      <m:t> </m:t>
                    </m:r>
                    <m:r>
                      <a:rPr lang="en-US" sz="1100" b="0" i="1">
                        <a:latin typeface="Cambria Math" panose="02040503050406030204" pitchFamily="18" charset="0"/>
                      </a:rPr>
                      <m:t>𝐸𝑎𝑟𝑛𝑒𝑑</m:t>
                    </m:r>
                    <m:r>
                      <a:rPr lang="en-US" sz="1100" b="0" i="1">
                        <a:latin typeface="Cambria Math" panose="02040503050406030204" pitchFamily="18" charset="0"/>
                      </a:rPr>
                      <m:t> </m:t>
                    </m:r>
                    <m:r>
                      <a:rPr lang="en-US" sz="1100" b="0" i="1">
                        <a:latin typeface="Cambria Math" panose="02040503050406030204" pitchFamily="18" charset="0"/>
                      </a:rPr>
                      <m:t>𝑃𝑟𝑒𝑚</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m:t>
                    </m:r>
                    <m:r>
                      <a:rPr lang="en-US" sz="1100" b="0" i="1">
                        <a:latin typeface="Cambria Math" panose="02040503050406030204" pitchFamily="18" charset="0"/>
                      </a:rPr>
                      <m:t>𝐸𝑎𝑟𝑛𝑒𝑑</m:t>
                    </m:r>
                    <m:r>
                      <a:rPr lang="en-US" sz="1100" b="0" i="1">
                        <a:latin typeface="Cambria Math" panose="02040503050406030204" pitchFamily="18" charset="0"/>
                      </a:rPr>
                      <m:t> </m:t>
                    </m:r>
                    <m:r>
                      <a:rPr lang="en-US" sz="1100" b="0" i="1">
                        <a:latin typeface="Cambria Math" panose="02040503050406030204" pitchFamily="18" charset="0"/>
                      </a:rPr>
                      <m:t>𝑃𝑟𝑒𝑚</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sSup>
                      <m:sSupPr>
                        <m:ctrlPr>
                          <a:rPr lang="en-US" sz="1100" b="0" i="1">
                            <a:latin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rPr>
                            </m:ctrlPr>
                          </m:dPr>
                          <m:e>
                            <m:r>
                              <a:rPr lang="en-US" sz="1100" b="0" i="1">
                                <a:latin typeface="Cambria Math" panose="02040503050406030204" pitchFamily="18" charset="0"/>
                              </a:rPr>
                              <m:t>1+</m:t>
                            </m:r>
                            <m:r>
                              <a:rPr lang="en-US" sz="1100" b="0" i="1">
                                <a:latin typeface="Cambria Math" panose="02040503050406030204" pitchFamily="18" charset="0"/>
                              </a:rPr>
                              <m:t>𝑡𝑟𝑒𝑛𝑑</m:t>
                            </m:r>
                          </m:e>
                        </m:d>
                      </m:e>
                      <m:sup>
                        <m:r>
                          <a:rPr lang="en-US" sz="1100" b="0" i="1">
                            <a:latin typeface="Cambria Math" panose="02040503050406030204" pitchFamily="18" charset="0"/>
                          </a:rPr>
                          <m:t>𝑡</m:t>
                        </m:r>
                      </m:sup>
                    </m:sSup>
                  </m:oMath>
                </m:oMathPara>
              </a14:m>
              <a:endParaRPr lang="en-US" sz="1100"/>
            </a:p>
          </xdr:txBody>
        </xdr:sp>
      </mc:Choice>
      <mc:Fallback xmlns="">
        <xdr:sp macro="" textlink="">
          <xdr:nvSpPr>
            <xdr:cNvPr id="5" name="TextBox 4">
              <a:extLst>
                <a:ext uri="{FF2B5EF4-FFF2-40B4-BE49-F238E27FC236}">
                  <a16:creationId xmlns:a16="http://schemas.microsoft.com/office/drawing/2014/main" id="{FDE413EF-0976-3A4A-93A5-FFEA376EF4F6}"/>
                </a:ext>
              </a:extLst>
            </xdr:cNvPr>
            <xdr:cNvSpPr txBox="1"/>
          </xdr:nvSpPr>
          <xdr:spPr>
            <a:xfrm>
              <a:off x="1608667" y="14139335"/>
              <a:ext cx="4441985" cy="2655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𝑃𝑟𝑜𝑗𝑒𝑐𝑡𝑒𝑑 𝐸𝑎𝑟𝑛𝑒𝑑 𝑃𝑟𝑒𝑚 𝑎𝑡 𝐶𝑅𝐿=𝐸𝑎𝑟𝑛𝑒𝑑 𝑃𝑟𝑒𝑚 𝑎𝑡 𝐶𝑅𝐿〖</a:t>
              </a:r>
              <a:r>
                <a:rPr lang="en-US" sz="1100" b="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rPr>
                <a:t>1+𝑡𝑟𝑒𝑛𝑑)〗^𝑡</a:t>
              </a:r>
              <a:endParaRPr lang="en-US" sz="1100"/>
            </a:p>
          </xdr:txBody>
        </xdr:sp>
      </mc:Fallback>
    </mc:AlternateContent>
    <xdr:clientData/>
  </xdr:oneCellAnchor>
  <xdr:twoCellAnchor editAs="oneCell">
    <xdr:from>
      <xdr:col>0</xdr:col>
      <xdr:colOff>433916</xdr:colOff>
      <xdr:row>67</xdr:row>
      <xdr:rowOff>201083</xdr:rowOff>
    </xdr:from>
    <xdr:to>
      <xdr:col>9</xdr:col>
      <xdr:colOff>755649</xdr:colOff>
      <xdr:row>80</xdr:row>
      <xdr:rowOff>80766</xdr:rowOff>
    </xdr:to>
    <xdr:pic>
      <xdr:nvPicPr>
        <xdr:cNvPr id="7" name="Picture 6">
          <a:extLst>
            <a:ext uri="{FF2B5EF4-FFF2-40B4-BE49-F238E27FC236}">
              <a16:creationId xmlns:a16="http://schemas.microsoft.com/office/drawing/2014/main" id="{D2FADF24-B5BE-FC0B-7095-278A953D51BC}"/>
            </a:ext>
          </a:extLst>
        </xdr:cNvPr>
        <xdr:cNvPicPr>
          <a:picLocks noChangeAspect="1"/>
        </xdr:cNvPicPr>
      </xdr:nvPicPr>
      <xdr:blipFill>
        <a:blip xmlns:r="http://schemas.openxmlformats.org/officeDocument/2006/relationships" r:embed="rId1"/>
        <a:stretch>
          <a:fillRect/>
        </a:stretch>
      </xdr:blipFill>
      <xdr:spPr>
        <a:xfrm>
          <a:off x="433916" y="12784666"/>
          <a:ext cx="7772400" cy="2493766"/>
        </a:xfrm>
        <a:prstGeom prst="rect">
          <a:avLst/>
        </a:prstGeom>
      </xdr:spPr>
    </xdr:pic>
    <xdr:clientData/>
  </xdr:twoCellAnchor>
  <xdr:oneCellAnchor>
    <xdr:from>
      <xdr:col>1</xdr:col>
      <xdr:colOff>158750</xdr:colOff>
      <xdr:row>32</xdr:row>
      <xdr:rowOff>84667</xdr:rowOff>
    </xdr:from>
    <xdr:ext cx="2002535" cy="438838"/>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39C03C1F-C346-F64B-B326-13A1AF137620}"/>
                </a:ext>
              </a:extLst>
            </xdr:cNvPr>
            <xdr:cNvSpPr txBox="1"/>
          </xdr:nvSpPr>
          <xdr:spPr>
            <a:xfrm>
              <a:off x="984250" y="6614584"/>
              <a:ext cx="2002535" cy="43883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𝐴𝑣𝑔</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𝑊𝑃</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𝐶𝑅𝐿</m:t>
                    </m:r>
                    <m:r>
                      <m:rPr>
                        <m:aln/>
                      </m:rP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𝑊𝑃</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𝐶𝑅𝐿</m:t>
                        </m:r>
                      </m:num>
                      <m:den>
                        <m:r>
                          <a:rPr lang="en-US" sz="1100" i="1">
                            <a:solidFill>
                              <a:schemeClr val="tx1"/>
                            </a:solidFill>
                            <a:effectLst/>
                            <a:latin typeface="Cambria Math" panose="02040503050406030204" pitchFamily="18" charset="0"/>
                            <a:ea typeface="+mn-ea"/>
                            <a:cs typeface="+mn-cs"/>
                          </a:rPr>
                          <m:t>𝐸𝑥𝑝𝑜𝑠𝑢𝑟𝑒𝑠</m:t>
                        </m:r>
                      </m:den>
                    </m:f>
                    <m:r>
                      <m:rPr>
                        <m:nor/>
                      </m:rPr>
                      <a:rPr lang="en-US">
                        <a:effectLst/>
                      </a:rPr>
                      <m:t> </m:t>
                    </m:r>
                  </m:oMath>
                </m:oMathPara>
              </a14:m>
              <a:endParaRPr lang="en-US" sz="1100"/>
            </a:p>
          </xdr:txBody>
        </xdr:sp>
      </mc:Choice>
      <mc:Fallback xmlns="">
        <xdr:sp macro="" textlink="">
          <xdr:nvSpPr>
            <xdr:cNvPr id="8" name="TextBox 7">
              <a:extLst>
                <a:ext uri="{FF2B5EF4-FFF2-40B4-BE49-F238E27FC236}">
                  <a16:creationId xmlns:a16="http://schemas.microsoft.com/office/drawing/2014/main" id="{39C03C1F-C346-F64B-B326-13A1AF137620}"/>
                </a:ext>
              </a:extLst>
            </xdr:cNvPr>
            <xdr:cNvSpPr txBox="1"/>
          </xdr:nvSpPr>
          <xdr:spPr>
            <a:xfrm>
              <a:off x="984250" y="6614584"/>
              <a:ext cx="2002535" cy="43883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i="0">
                  <a:solidFill>
                    <a:schemeClr val="tx1"/>
                  </a:solidFill>
                  <a:effectLst/>
                  <a:latin typeface="+mn-lt"/>
                  <a:ea typeface="+mn-ea"/>
                  <a:cs typeface="+mn-cs"/>
                </a:rPr>
                <a:t>𝐴𝑣𝑔 𝑊𝑃 𝑎𝑡 𝐶𝑅𝐿&amp;=(𝑊𝑃 𝑎𝑡 𝐶𝑅𝐿)/𝐸𝑥𝑝𝑜𝑠𝑢𝑟𝑒𝑠 </a:t>
              </a:r>
              <a:r>
                <a:rPr lang="en-US" sz="1100" i="0">
                  <a:solidFill>
                    <a:schemeClr val="tx1"/>
                  </a:solidFill>
                  <a:effectLst/>
                  <a:latin typeface="Cambria Math" panose="02040503050406030204" pitchFamily="18" charset="0"/>
                  <a:ea typeface="+mn-ea"/>
                  <a:cs typeface="+mn-cs"/>
                </a:rPr>
                <a:t>"</a:t>
              </a:r>
              <a:r>
                <a:rPr lang="en-US" i="0">
                  <a:effectLst/>
                  <a:latin typeface="Cambria Math" panose="02040503050406030204" pitchFamily="18" charset="0"/>
                </a:rPr>
                <a:t> </a:t>
              </a:r>
              <a:r>
                <a:rPr lang="en-US" i="0">
                  <a:effectLst/>
                </a:rPr>
                <a:t>"</a:t>
              </a:r>
              <a:endParaRPr lang="en-US" sz="1100"/>
            </a:p>
          </xdr:txBody>
        </xdr:sp>
      </mc:Fallback>
    </mc:AlternateContent>
    <xdr:clientData/>
  </xdr:oneCellAnchor>
  <xdr:oneCellAnchor>
    <xdr:from>
      <xdr:col>1</xdr:col>
      <xdr:colOff>158750</xdr:colOff>
      <xdr:row>39</xdr:row>
      <xdr:rowOff>84667</xdr:rowOff>
    </xdr:from>
    <xdr:ext cx="2770310" cy="439992"/>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F0F43B3-CDAB-804C-9BA5-BED5382C20DC}"/>
                </a:ext>
              </a:extLst>
            </xdr:cNvPr>
            <xdr:cNvSpPr txBox="1"/>
          </xdr:nvSpPr>
          <xdr:spPr>
            <a:xfrm>
              <a:off x="984250" y="8022167"/>
              <a:ext cx="2770310" cy="43999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𝐴𝑛𝑛𝑢𝑎𝑙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𝐶h𝑎𝑛𝑔𝑒</m:t>
                        </m:r>
                      </m:e>
                      <m:sub>
                        <m:r>
                          <m:rPr>
                            <m:sty m:val="p"/>
                          </m:rPr>
                          <a:rPr lang="en-US" sz="1100">
                            <a:solidFill>
                              <a:schemeClr val="tx1"/>
                            </a:solidFill>
                            <a:effectLst/>
                            <a:latin typeface="Cambria Math" panose="02040503050406030204" pitchFamily="18" charset="0"/>
                            <a:ea typeface="+mn-ea"/>
                            <a:cs typeface="+mn-cs"/>
                          </a:rPr>
                          <m:t>t</m:t>
                        </m:r>
                      </m:sub>
                    </m:sSub>
                    <m:r>
                      <m:rPr>
                        <m:aln/>
                      </m:rP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𝐴𝑣𝑔</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𝑊𝑃</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𝐶𝑅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𝑡</m:t>
                            </m:r>
                          </m:sub>
                        </m:sSub>
                      </m:num>
                      <m:den>
                        <m:r>
                          <a:rPr lang="en-US" sz="1100" i="1">
                            <a:solidFill>
                              <a:schemeClr val="tx1"/>
                            </a:solidFill>
                            <a:effectLst/>
                            <a:latin typeface="Cambria Math" panose="02040503050406030204" pitchFamily="18" charset="0"/>
                            <a:ea typeface="+mn-ea"/>
                            <a:cs typeface="+mn-cs"/>
                          </a:rPr>
                          <m:t>𝐴𝑣𝑔</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𝑊𝑃</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𝐶𝑅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𝑡</m:t>
                            </m:r>
                            <m:r>
                              <a:rPr lang="en-US" sz="1100" i="1">
                                <a:solidFill>
                                  <a:schemeClr val="tx1"/>
                                </a:solidFill>
                                <a:effectLst/>
                                <a:latin typeface="Cambria Math" panose="02040503050406030204" pitchFamily="18" charset="0"/>
                                <a:ea typeface="+mn-ea"/>
                                <a:cs typeface="+mn-cs"/>
                              </a:rPr>
                              <m:t>−1</m:t>
                            </m:r>
                          </m:sub>
                        </m:sSub>
                      </m:den>
                    </m:f>
                    <m:r>
                      <a:rPr lang="en-US" sz="1100" i="1">
                        <a:solidFill>
                          <a:schemeClr val="tx1"/>
                        </a:solidFill>
                        <a:effectLst/>
                        <a:latin typeface="Cambria Math" panose="02040503050406030204" pitchFamily="18" charset="0"/>
                        <a:ea typeface="+mn-ea"/>
                        <a:cs typeface="+mn-cs"/>
                      </a:rPr>
                      <m:t>−</m:t>
                    </m:r>
                    <m:r>
                      <a:rPr lang="en-US" sz="1100">
                        <a:solidFill>
                          <a:schemeClr val="tx1"/>
                        </a:solidFill>
                        <a:effectLst/>
                        <a:latin typeface="Cambria Math" panose="02040503050406030204" pitchFamily="18" charset="0"/>
                        <a:ea typeface="+mn-ea"/>
                        <a:cs typeface="+mn-cs"/>
                      </a:rPr>
                      <m:t>1</m:t>
                    </m:r>
                    <m:r>
                      <m:rPr>
                        <m:nor/>
                      </m:rPr>
                      <a:rPr lang="en-US">
                        <a:effectLst/>
                      </a:rPr>
                      <m:t>  </m:t>
                    </m:r>
                  </m:oMath>
                </m:oMathPara>
              </a14:m>
              <a:endParaRPr lang="en-US" sz="1100"/>
            </a:p>
          </xdr:txBody>
        </xdr:sp>
      </mc:Choice>
      <mc:Fallback xmlns="">
        <xdr:sp macro="" textlink="">
          <xdr:nvSpPr>
            <xdr:cNvPr id="9" name="TextBox 8">
              <a:extLst>
                <a:ext uri="{FF2B5EF4-FFF2-40B4-BE49-F238E27FC236}">
                  <a16:creationId xmlns:a16="http://schemas.microsoft.com/office/drawing/2014/main" id="{0F0F43B3-CDAB-804C-9BA5-BED5382C20DC}"/>
                </a:ext>
              </a:extLst>
            </xdr:cNvPr>
            <xdr:cNvSpPr txBox="1"/>
          </xdr:nvSpPr>
          <xdr:spPr>
            <a:xfrm>
              <a:off x="984250" y="8022167"/>
              <a:ext cx="2770310" cy="43999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i="0">
                  <a:solidFill>
                    <a:schemeClr val="tx1"/>
                  </a:solidFill>
                  <a:effectLst/>
                  <a:latin typeface="+mn-lt"/>
                  <a:ea typeface="+mn-ea"/>
                  <a:cs typeface="+mn-cs"/>
                </a:rPr>
                <a:t>〖𝐴𝑛𝑛𝑢𝑎𝑙 𝐶ℎ𝑎𝑛𝑔𝑒〗_t&amp;=(𝐴𝑣𝑔 𝑊𝑃 𝑎𝑡 𝐶𝑅𝐿_𝑡)/(𝐴𝑣𝑔 𝑊𝑃 𝑎𝑡 𝐶𝑅𝐿_(𝑡−1) )−1</a:t>
              </a:r>
              <a:r>
                <a:rPr lang="en-US" sz="1100" i="0">
                  <a:solidFill>
                    <a:schemeClr val="tx1"/>
                  </a:solidFill>
                  <a:effectLst/>
                  <a:latin typeface="Cambria Math" panose="02040503050406030204" pitchFamily="18" charset="0"/>
                  <a:ea typeface="+mn-ea"/>
                  <a:cs typeface="+mn-cs"/>
                </a:rPr>
                <a:t>"</a:t>
              </a:r>
              <a:r>
                <a:rPr lang="en-US" i="0">
                  <a:effectLst/>
                  <a:latin typeface="Cambria Math" panose="02040503050406030204" pitchFamily="18" charset="0"/>
                </a:rPr>
                <a:t>  </a:t>
              </a:r>
              <a:r>
                <a:rPr lang="en-US" i="0">
                  <a:effectLst/>
                </a:rPr>
                <a:t>"</a:t>
              </a:r>
              <a:endParaRPr lang="en-US" sz="1100"/>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oneCellAnchor>
    <xdr:from>
      <xdr:col>1</xdr:col>
      <xdr:colOff>232833</xdr:colOff>
      <xdr:row>56</xdr:row>
      <xdr:rowOff>179917</xdr:rowOff>
    </xdr:from>
    <xdr:ext cx="6005490" cy="264431"/>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4EA8AD20-8EF8-5043-9C8F-D348FB1F4050}"/>
                </a:ext>
              </a:extLst>
            </xdr:cNvPr>
            <xdr:cNvSpPr txBox="1"/>
          </xdr:nvSpPr>
          <xdr:spPr>
            <a:xfrm>
              <a:off x="1058333" y="11535834"/>
              <a:ext cx="6005490"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𝑃𝑟𝑜𝑗𝑒𝑐𝑡𝑒𝑑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𝑇𝑟𝑒𝑛𝑑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𝑃𝑒𝑟𝑖𝑜𝑑</m:t>
                    </m:r>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rPr>
                      <m:t>𝐿𝑎𝑡𝑒𝑠𝑡</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𝐴𝑣𝑒𝑟𝑎𝑔𝑒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𝐷𝑎𝑡𝑒</m:t>
                    </m:r>
                    <m:r>
                      <a:rPr lang="en-US" sz="1100" b="0" i="1">
                        <a:solidFill>
                          <a:schemeClr val="tx1"/>
                        </a:solidFill>
                        <a:latin typeface="Cambria Math" panose="02040503050406030204" pitchFamily="18" charset="0"/>
                      </a:rPr>
                      <m:t> → </m:t>
                    </m:r>
                    <m:r>
                      <a:rPr lang="en-US" sz="1100" b="0" i="1">
                        <a:solidFill>
                          <a:schemeClr val="tx1"/>
                        </a:solidFill>
                        <a:latin typeface="Cambria Math" panose="02040503050406030204" pitchFamily="18" charset="0"/>
                      </a:rPr>
                      <m:t>𝐸𝑓𝑓𝑒𝑐𝑡𝑖𝑣𝑒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𝐴𝑣𝑒𝑟𝑎𝑔𝑒</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𝑊𝑟𝑖𝑡𝑡𝑒𝑛</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𝐷𝑎𝑡𝑒</m:t>
                    </m:r>
                  </m:oMath>
                </m:oMathPara>
              </a14:m>
              <a:endParaRPr lang="en-US" sz="1100">
                <a:solidFill>
                  <a:schemeClr val="tx1"/>
                </a:solidFill>
              </a:endParaRPr>
            </a:p>
          </xdr:txBody>
        </xdr:sp>
      </mc:Choice>
      <mc:Fallback xmlns="">
        <xdr:sp macro="" textlink="">
          <xdr:nvSpPr>
            <xdr:cNvPr id="2" name="TextBox 1">
              <a:extLst>
                <a:ext uri="{FF2B5EF4-FFF2-40B4-BE49-F238E27FC236}">
                  <a16:creationId xmlns:a16="http://schemas.microsoft.com/office/drawing/2014/main" id="{4EA8AD20-8EF8-5043-9C8F-D348FB1F4050}"/>
                </a:ext>
              </a:extLst>
            </xdr:cNvPr>
            <xdr:cNvSpPr txBox="1"/>
          </xdr:nvSpPr>
          <xdr:spPr>
            <a:xfrm>
              <a:off x="1058333" y="11535834"/>
              <a:ext cx="6005490" cy="26443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𝑃𝑟𝑜𝑗𝑒𝑐𝑡𝑒𝑑 𝑇𝑟𝑒𝑛𝑑 𝑃𝑒𝑟𝑖𝑜𝑑=𝐿𝑎𝑡𝑒𝑠𝑡 𝐴𝑣𝑒𝑟𝑎𝑔𝑒 𝑊𝑟𝑖𝑡𝑡𝑒𝑛 𝐷𝑎𝑡𝑒 </a:t>
              </a:r>
              <a:r>
                <a:rPr lang="en-US" sz="1100" b="0" i="0">
                  <a:solidFill>
                    <a:schemeClr val="tx1"/>
                  </a:solidFill>
                  <a:latin typeface="Cambria Math" panose="02040503050406030204" pitchFamily="18" charset="0"/>
                  <a:ea typeface="Cambria Math" panose="02040503050406030204" pitchFamily="18" charset="0"/>
                </a:rPr>
                <a:t>→</a:t>
              </a:r>
              <a:r>
                <a:rPr lang="en-US" sz="1100" b="0" i="0">
                  <a:solidFill>
                    <a:schemeClr val="tx1"/>
                  </a:solidFill>
                  <a:latin typeface="Cambria Math" panose="02040503050406030204" pitchFamily="18" charset="0"/>
                </a:rPr>
                <a:t> 𝐸𝑓𝑓𝑒𝑐𝑡𝑖𝑣𝑒 𝐴𝑣𝑒𝑟𝑎𝑔𝑒 𝑊𝑟𝑖𝑡𝑡𝑒𝑛 𝐷𝑎𝑡𝑒</a:t>
              </a:r>
              <a:endParaRPr lang="en-US" sz="1100">
                <a:solidFill>
                  <a:schemeClr val="tx1"/>
                </a:solidFill>
              </a:endParaRPr>
            </a:p>
          </xdr:txBody>
        </xdr:sp>
      </mc:Fallback>
    </mc:AlternateContent>
    <xdr:clientData/>
  </xdr:oneCellAnchor>
  <xdr:oneCellAnchor>
    <xdr:from>
      <xdr:col>1</xdr:col>
      <xdr:colOff>465667</xdr:colOff>
      <xdr:row>87</xdr:row>
      <xdr:rowOff>116418</xdr:rowOff>
    </xdr:from>
    <xdr:ext cx="5292987" cy="26456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3781F1BB-F5DF-BF4C-A13E-0E79326405C5}"/>
                </a:ext>
              </a:extLst>
            </xdr:cNvPr>
            <xdr:cNvSpPr txBox="1"/>
          </xdr:nvSpPr>
          <xdr:spPr>
            <a:xfrm>
              <a:off x="1291167" y="16922751"/>
              <a:ext cx="529298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𝑃𝑟𝑜𝑗𝑒𝑐𝑡𝑒𝑑</m:t>
                    </m:r>
                    <m:r>
                      <a:rPr lang="en-US" sz="1100" b="0" i="1">
                        <a:latin typeface="Cambria Math" panose="02040503050406030204" pitchFamily="18" charset="0"/>
                      </a:rPr>
                      <m:t> </m:t>
                    </m:r>
                    <m:r>
                      <a:rPr lang="en-US" sz="1100" b="0" i="1">
                        <a:latin typeface="Cambria Math" panose="02040503050406030204" pitchFamily="18" charset="0"/>
                      </a:rPr>
                      <m:t>𝐸𝑃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m:t>
                    </m:r>
                    <m:r>
                      <a:rPr lang="en-US" sz="1100" b="0" i="1">
                        <a:latin typeface="Cambria Math" panose="02040503050406030204" pitchFamily="18" charset="0"/>
                      </a:rPr>
                      <m:t>𝐸𝑃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𝐶𝑢𝑟𝑟𝑒𝑛𝑡</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𝑇𝑟𝑒𝑛𝑑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𝑃𝑟𝑜𝑗𝑒𝑐𝑡𝑒𝑑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𝑇𝑟𝑒𝑛𝑑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𝐹𝑎𝑐𝑡𝑜𝑟</m:t>
                    </m:r>
                  </m:oMath>
                </m:oMathPara>
              </a14:m>
              <a:endParaRPr lang="en-US" sz="1100"/>
            </a:p>
          </xdr:txBody>
        </xdr:sp>
      </mc:Choice>
      <mc:Fallback xmlns="">
        <xdr:sp macro="" textlink="">
          <xdr:nvSpPr>
            <xdr:cNvPr id="3" name="TextBox 2">
              <a:extLst>
                <a:ext uri="{FF2B5EF4-FFF2-40B4-BE49-F238E27FC236}">
                  <a16:creationId xmlns:a16="http://schemas.microsoft.com/office/drawing/2014/main" id="{3781F1BB-F5DF-BF4C-A13E-0E79326405C5}"/>
                </a:ext>
              </a:extLst>
            </xdr:cNvPr>
            <xdr:cNvSpPr txBox="1"/>
          </xdr:nvSpPr>
          <xdr:spPr>
            <a:xfrm>
              <a:off x="1291167" y="16922751"/>
              <a:ext cx="5292987" cy="2645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𝑃𝑟𝑜𝑗𝑒𝑐𝑡𝑒𝑑 𝐸𝑃 𝑎𝑡 𝐶𝑅𝐿=𝐸𝑃 𝑎𝑡 𝐶𝑅𝐿</a:t>
              </a:r>
              <a:r>
                <a:rPr lang="en-US" sz="1100" b="0" i="0">
                  <a:latin typeface="Cambria Math" panose="02040503050406030204" pitchFamily="18" charset="0"/>
                  <a:ea typeface="Cambria Math" panose="02040503050406030204" pitchFamily="18" charset="0"/>
                </a:rPr>
                <a:t>×𝐶𝑢𝑟𝑟𝑒𝑛𝑡 𝑇𝑟𝑒𝑛𝑑 𝐹𝑎𝑐𝑡𝑜𝑟×𝑃𝑟𝑜𝑗𝑒𝑐𝑡𝑒𝑑 𝑇𝑟𝑒𝑛𝑑 𝐹𝑎𝑐𝑡𝑜𝑟</a:t>
              </a:r>
              <a:endParaRPr lang="en-US" sz="1100"/>
            </a:p>
          </xdr:txBody>
        </xdr:sp>
      </mc:Fallback>
    </mc:AlternateContent>
    <xdr:clientData/>
  </xdr:oneCellAnchor>
  <xdr:oneCellAnchor>
    <xdr:from>
      <xdr:col>1</xdr:col>
      <xdr:colOff>179917</xdr:colOff>
      <xdr:row>79</xdr:row>
      <xdr:rowOff>148166</xdr:rowOff>
    </xdr:from>
    <xdr:ext cx="3242490" cy="265586"/>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4EA26AD6-D33A-EF4D-9755-87D8D659DCF6}"/>
                </a:ext>
              </a:extLst>
            </xdr:cNvPr>
            <xdr:cNvSpPr txBox="1"/>
          </xdr:nvSpPr>
          <xdr:spPr>
            <a:xfrm>
              <a:off x="1005417" y="15345833"/>
              <a:ext cx="3242490" cy="2655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𝑃𝑟𝑜𝑗𝑒𝑐𝑡𝑒𝑑</m:t>
                    </m:r>
                    <m:r>
                      <a:rPr lang="en-US" sz="1100" b="0" i="1">
                        <a:latin typeface="Cambria Math" panose="02040503050406030204" pitchFamily="18" charset="0"/>
                      </a:rPr>
                      <m:t> </m:t>
                    </m:r>
                    <m:r>
                      <a:rPr lang="en-US" sz="1100" b="0" i="1">
                        <a:latin typeface="Cambria Math" panose="02040503050406030204" pitchFamily="18" charset="0"/>
                      </a:rPr>
                      <m:t>𝑇𝑟𝑒𝑛𝑑</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sSup>
                      <m:sSupPr>
                        <m:ctrlPr>
                          <a:rPr lang="en-US" sz="1100" b="0" i="1">
                            <a:latin typeface="Cambria Math" panose="02040503050406030204" pitchFamily="18" charset="0"/>
                          </a:rPr>
                        </m:ctrlPr>
                      </m:sSupPr>
                      <m:e>
                        <m:d>
                          <m:dPr>
                            <m:ctrlPr>
                              <a:rPr lang="en-US" sz="1100" b="0" i="1">
                                <a:latin typeface="Cambria Math" panose="02040503050406030204" pitchFamily="18" charset="0"/>
                              </a:rPr>
                            </m:ctrlPr>
                          </m:dPr>
                          <m:e>
                            <m:r>
                              <a:rPr lang="en-US" sz="1100" b="0" i="1">
                                <a:latin typeface="Cambria Math" panose="02040503050406030204" pitchFamily="18" charset="0"/>
                              </a:rPr>
                              <m:t>1+</m:t>
                            </m:r>
                            <m:r>
                              <a:rPr lang="en-US" sz="1100" b="0" i="1">
                                <a:latin typeface="Cambria Math" panose="02040503050406030204" pitchFamily="18" charset="0"/>
                              </a:rPr>
                              <m:t>𝑝𝑟𝑜𝑗𝑒𝑐𝑡𝑒𝑑</m:t>
                            </m:r>
                            <m:r>
                              <a:rPr lang="en-US" sz="1100" b="0" i="1">
                                <a:latin typeface="Cambria Math" panose="02040503050406030204" pitchFamily="18" charset="0"/>
                              </a:rPr>
                              <m:t> </m:t>
                            </m:r>
                            <m:r>
                              <a:rPr lang="en-US" sz="1100" b="0" i="1">
                                <a:latin typeface="Cambria Math" panose="02040503050406030204" pitchFamily="18" charset="0"/>
                              </a:rPr>
                              <m:t>𝑡𝑟𝑒𝑛𝑑</m:t>
                            </m:r>
                          </m:e>
                        </m:d>
                      </m:e>
                      <m:sup>
                        <m:r>
                          <a:rPr lang="en-US" sz="1100" b="0" i="1">
                            <a:latin typeface="Cambria Math" panose="02040503050406030204" pitchFamily="18" charset="0"/>
                          </a:rPr>
                          <m:t>𝑡</m:t>
                        </m:r>
                      </m:sup>
                    </m:sSup>
                  </m:oMath>
                </m:oMathPara>
              </a14:m>
              <a:endParaRPr lang="en-US" sz="1100"/>
            </a:p>
          </xdr:txBody>
        </xdr:sp>
      </mc:Choice>
      <mc:Fallback xmlns="">
        <xdr:sp macro="" textlink="">
          <xdr:nvSpPr>
            <xdr:cNvPr id="5" name="TextBox 4">
              <a:extLst>
                <a:ext uri="{FF2B5EF4-FFF2-40B4-BE49-F238E27FC236}">
                  <a16:creationId xmlns:a16="http://schemas.microsoft.com/office/drawing/2014/main" id="{4EA26AD6-D33A-EF4D-9755-87D8D659DCF6}"/>
                </a:ext>
              </a:extLst>
            </xdr:cNvPr>
            <xdr:cNvSpPr txBox="1"/>
          </xdr:nvSpPr>
          <xdr:spPr>
            <a:xfrm>
              <a:off x="1005417" y="15345833"/>
              <a:ext cx="3242490" cy="2655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𝑃𝑟𝑜𝑗𝑒𝑐𝑡𝑒𝑑 𝑇𝑟𝑒𝑛𝑑 𝐹𝑎𝑐𝑡𝑜𝑟=(1+𝑝𝑟𝑜𝑗𝑒𝑐𝑡𝑒𝑑 𝑡𝑟𝑒𝑛𝑑)^𝑡</a:t>
              </a:r>
              <a:endParaRPr lang="en-US" sz="1100"/>
            </a:p>
          </xdr:txBody>
        </xdr:sp>
      </mc:Fallback>
    </mc:AlternateContent>
    <xdr:clientData/>
  </xdr:oneCellAnchor>
  <xdr:oneCellAnchor>
    <xdr:from>
      <xdr:col>1</xdr:col>
      <xdr:colOff>42333</xdr:colOff>
      <xdr:row>33</xdr:row>
      <xdr:rowOff>84666</xdr:rowOff>
    </xdr:from>
    <xdr:ext cx="3181384" cy="438838"/>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23815008-8E20-AA45-8E6E-64A2648E8619}"/>
                </a:ext>
              </a:extLst>
            </xdr:cNvPr>
            <xdr:cNvSpPr txBox="1"/>
          </xdr:nvSpPr>
          <xdr:spPr>
            <a:xfrm>
              <a:off x="867833" y="6815666"/>
              <a:ext cx="3181384" cy="43883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𝐿𝑎𝑡𝑒𝑠𝑡</m:t>
                    </m:r>
                    <m:r>
                      <a:rPr lang="en-US" sz="1100" b="0" i="1">
                        <a:latin typeface="Cambria Math" panose="02040503050406030204" pitchFamily="18" charset="0"/>
                      </a:rPr>
                      <m:t> </m:t>
                    </m:r>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𝑊𝑃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𝐿𝑎𝑡𝑒𝑠𝑡</m:t>
                        </m:r>
                        <m:r>
                          <a:rPr lang="en-US" sz="1100" b="0" i="1">
                            <a:latin typeface="Cambria Math" panose="02040503050406030204" pitchFamily="18" charset="0"/>
                          </a:rPr>
                          <m:t> </m:t>
                        </m:r>
                        <m:r>
                          <a:rPr lang="en-US" sz="1100" b="0" i="1">
                            <a:latin typeface="Cambria Math" panose="02040503050406030204" pitchFamily="18" charset="0"/>
                          </a:rPr>
                          <m:t>𝑊𝑃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num>
                      <m:den>
                        <m:r>
                          <a:rPr lang="en-US" sz="1100" b="0" i="1">
                            <a:latin typeface="Cambria Math" panose="02040503050406030204" pitchFamily="18" charset="0"/>
                          </a:rPr>
                          <m:t>𝐿𝑎𝑡𝑒𝑠𝑡</m:t>
                        </m:r>
                        <m:r>
                          <a:rPr lang="en-US" sz="1100" b="0" i="1">
                            <a:latin typeface="Cambria Math" panose="02040503050406030204" pitchFamily="18" charset="0"/>
                          </a:rPr>
                          <m:t> #</m:t>
                        </m:r>
                        <m:r>
                          <a:rPr lang="en-US" sz="1100" b="0" i="1">
                            <a:latin typeface="Cambria Math" panose="02040503050406030204" pitchFamily="18" charset="0"/>
                          </a:rPr>
                          <m:t>𝐸𝑥𝑝𝑜𝑠𝑢𝑟𝑒𝑠</m:t>
                        </m:r>
                      </m:den>
                    </m:f>
                  </m:oMath>
                </m:oMathPara>
              </a14:m>
              <a:endParaRPr lang="en-US" sz="1100" b="0"/>
            </a:p>
          </xdr:txBody>
        </xdr:sp>
      </mc:Choice>
      <mc:Fallback xmlns="">
        <xdr:sp macro="" textlink="">
          <xdr:nvSpPr>
            <xdr:cNvPr id="7" name="TextBox 6">
              <a:extLst>
                <a:ext uri="{FF2B5EF4-FFF2-40B4-BE49-F238E27FC236}">
                  <a16:creationId xmlns:a16="http://schemas.microsoft.com/office/drawing/2014/main" id="{23815008-8E20-AA45-8E6E-64A2648E8619}"/>
                </a:ext>
              </a:extLst>
            </xdr:cNvPr>
            <xdr:cNvSpPr txBox="1"/>
          </xdr:nvSpPr>
          <xdr:spPr>
            <a:xfrm>
              <a:off x="867833" y="6815666"/>
              <a:ext cx="3181384" cy="43883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𝐿𝑎𝑡𝑒𝑠𝑡 𝐴𝑣𝑒𝑟𝑎𝑔𝑒 𝑊𝑃 𝑎𝑡 𝐶𝑅𝐿=(𝐿𝑎𝑡𝑒𝑠𝑡 𝑊𝑃 𝑎𝑡 𝐶𝑅𝐿)/(𝐿𝑎𝑡𝑒𝑠𝑡 #𝐸𝑥𝑝𝑜𝑠𝑢𝑟𝑒𝑠)</a:t>
              </a:r>
              <a:endParaRPr lang="en-US" sz="1100" b="0"/>
            </a:p>
          </xdr:txBody>
        </xdr:sp>
      </mc:Fallback>
    </mc:AlternateContent>
    <xdr:clientData/>
  </xdr:oneCellAnchor>
  <xdr:oneCellAnchor>
    <xdr:from>
      <xdr:col>2</xdr:col>
      <xdr:colOff>275166</xdr:colOff>
      <xdr:row>40</xdr:row>
      <xdr:rowOff>137584</xdr:rowOff>
    </xdr:from>
    <xdr:ext cx="3579763" cy="439992"/>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8C7CFECB-B332-7547-8205-9111F8B7F08C}"/>
                </a:ext>
              </a:extLst>
            </xdr:cNvPr>
            <xdr:cNvSpPr txBox="1"/>
          </xdr:nvSpPr>
          <xdr:spPr>
            <a:xfrm>
              <a:off x="1926166" y="8276167"/>
              <a:ext cx="3579763" cy="43999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𝐶𝑢𝑟𝑟𝑒𝑛𝑡</m:t>
                    </m:r>
                    <m:r>
                      <a:rPr lang="en-US" sz="1100" b="0" i="1">
                        <a:latin typeface="Cambria Math" panose="02040503050406030204" pitchFamily="18" charset="0"/>
                      </a:rPr>
                      <m:t> </m:t>
                    </m:r>
                    <m:r>
                      <a:rPr lang="en-US" sz="1100" b="0" i="1">
                        <a:latin typeface="Cambria Math" panose="02040503050406030204" pitchFamily="18" charset="0"/>
                      </a:rPr>
                      <m:t>𝑇𝑟𝑒𝑛𝑑</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𝐿𝑎𝑡𝑒𝑠𝑡</m:t>
                        </m:r>
                        <m:r>
                          <a:rPr lang="en-US" sz="1100" b="0" i="1">
                            <a:latin typeface="Cambria Math" panose="02040503050406030204" pitchFamily="18" charset="0"/>
                          </a:rPr>
                          <m:t> </m:t>
                        </m:r>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𝑊𝑃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num>
                      <m:den>
                        <m:r>
                          <a:rPr lang="en-US" sz="1100" b="0" i="1">
                            <a:latin typeface="Cambria Math" panose="02040503050406030204" pitchFamily="18" charset="0"/>
                          </a:rPr>
                          <m:t>𝐻𝑖𝑠𝑡𝑜𝑟𝑖𝑐𝑎𝑙</m:t>
                        </m:r>
                        <m:r>
                          <a:rPr lang="en-US" sz="1100" b="0" i="1">
                            <a:latin typeface="Cambria Math" panose="02040503050406030204" pitchFamily="18" charset="0"/>
                          </a:rPr>
                          <m:t> </m:t>
                        </m:r>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𝐸𝑃</m:t>
                        </m:r>
                        <m:r>
                          <a:rPr lang="en-US" sz="1100" b="0" i="1">
                            <a:latin typeface="Cambria Math" panose="02040503050406030204" pitchFamily="18" charset="0"/>
                          </a:rPr>
                          <m:t> </m:t>
                        </m:r>
                        <m:r>
                          <a:rPr lang="en-US" sz="1100" b="0" i="1">
                            <a:latin typeface="Cambria Math" panose="02040503050406030204" pitchFamily="18" charset="0"/>
                          </a:rPr>
                          <m:t>𝑎𝑡</m:t>
                        </m:r>
                        <m:r>
                          <a:rPr lang="en-US" sz="1100" b="0" i="1">
                            <a:latin typeface="Cambria Math" panose="02040503050406030204" pitchFamily="18" charset="0"/>
                          </a:rPr>
                          <m:t> </m:t>
                        </m:r>
                        <m:r>
                          <a:rPr lang="en-US" sz="1100" b="0" i="1">
                            <a:latin typeface="Cambria Math" panose="02040503050406030204" pitchFamily="18" charset="0"/>
                          </a:rPr>
                          <m:t>𝐶𝑅𝐿</m:t>
                        </m:r>
                      </m:den>
                    </m:f>
                  </m:oMath>
                </m:oMathPara>
              </a14:m>
              <a:endParaRPr lang="en-US" sz="1100"/>
            </a:p>
          </xdr:txBody>
        </xdr:sp>
      </mc:Choice>
      <mc:Fallback xmlns="">
        <xdr:sp macro="" textlink="">
          <xdr:nvSpPr>
            <xdr:cNvPr id="8" name="TextBox 7">
              <a:extLst>
                <a:ext uri="{FF2B5EF4-FFF2-40B4-BE49-F238E27FC236}">
                  <a16:creationId xmlns:a16="http://schemas.microsoft.com/office/drawing/2014/main" id="{8C7CFECB-B332-7547-8205-9111F8B7F08C}"/>
                </a:ext>
              </a:extLst>
            </xdr:cNvPr>
            <xdr:cNvSpPr txBox="1"/>
          </xdr:nvSpPr>
          <xdr:spPr>
            <a:xfrm>
              <a:off x="1926166" y="8276167"/>
              <a:ext cx="3579763" cy="43999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𝐶𝑢𝑟𝑟𝑒𝑛𝑡 𝑇𝑟𝑒𝑛𝑑 𝐹𝑎𝑐𝑡𝑜𝑟=(𝐿𝑎𝑡𝑒𝑠𝑡 𝐴𝑣𝑒𝑟𝑎𝑔𝑒 𝑊𝑃 𝑎𝑡 𝐶𝑅𝐿)/(𝐻𝑖𝑠𝑡𝑜𝑟𝑖𝑐𝑎𝑙 𝐴𝑣𝑒𝑟𝑎𝑔𝑒 𝐸𝑃 𝑎𝑡 𝐶𝑅𝐿)</a:t>
              </a:r>
              <a:endParaRPr lang="en-US" sz="1100"/>
            </a:p>
          </xdr:txBody>
        </xdr:sp>
      </mc:Fallback>
    </mc:AlternateContent>
    <xdr:clientData/>
  </xdr:oneCellAnchor>
  <xdr:twoCellAnchor editAs="oneCell">
    <xdr:from>
      <xdr:col>0</xdr:col>
      <xdr:colOff>433918</xdr:colOff>
      <xdr:row>63</xdr:row>
      <xdr:rowOff>10583</xdr:rowOff>
    </xdr:from>
    <xdr:to>
      <xdr:col>9</xdr:col>
      <xdr:colOff>755651</xdr:colOff>
      <xdr:row>75</xdr:row>
      <xdr:rowOff>91349</xdr:rowOff>
    </xdr:to>
    <xdr:pic>
      <xdr:nvPicPr>
        <xdr:cNvPr id="10" name="Picture 9">
          <a:extLst>
            <a:ext uri="{FF2B5EF4-FFF2-40B4-BE49-F238E27FC236}">
              <a16:creationId xmlns:a16="http://schemas.microsoft.com/office/drawing/2014/main" id="{5DFC5D01-1847-C8D7-5991-330C68F61C4C}"/>
            </a:ext>
          </a:extLst>
        </xdr:cNvPr>
        <xdr:cNvPicPr>
          <a:picLocks noChangeAspect="1"/>
        </xdr:cNvPicPr>
      </xdr:nvPicPr>
      <xdr:blipFill>
        <a:blip xmlns:r="http://schemas.openxmlformats.org/officeDocument/2006/relationships" r:embed="rId1"/>
        <a:stretch>
          <a:fillRect/>
        </a:stretch>
      </xdr:blipFill>
      <xdr:spPr>
        <a:xfrm>
          <a:off x="433918" y="12774083"/>
          <a:ext cx="7772400" cy="24937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105833</xdr:colOff>
      <xdr:row>43</xdr:row>
      <xdr:rowOff>127000</xdr:rowOff>
    </xdr:from>
    <xdr:ext cx="3536802" cy="50218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18FDF1D-4172-5941-9FEB-9D99974488F3}"/>
                </a:ext>
              </a:extLst>
            </xdr:cNvPr>
            <xdr:cNvSpPr txBox="1"/>
          </xdr:nvSpPr>
          <xdr:spPr>
            <a:xfrm>
              <a:off x="931333" y="8466667"/>
              <a:ext cx="3536802"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𝐶𝑌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𝑅𝑒𝑝𝑜𝑟𝑡𝑒𝑑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𝐿𝑜𝑠𝑠</m:t>
                    </m:r>
                    <m:r>
                      <a:rPr lang="en-US" sz="1100" b="0" i="1">
                        <a:solidFill>
                          <a:schemeClr val="tx1"/>
                        </a:solidFill>
                        <a:latin typeface="Cambria Math" panose="02040503050406030204" pitchFamily="18" charset="0"/>
                      </a:rPr>
                      <m:t>=</m:t>
                    </m:r>
                    <m:nary>
                      <m:naryPr>
                        <m:chr m:val="∑"/>
                        <m:subHide m:val="on"/>
                        <m:supHide m:val="on"/>
                        <m:ctrlPr>
                          <a:rPr lang="en-US" sz="1100" b="0" i="1">
                            <a:solidFill>
                              <a:schemeClr val="tx1"/>
                            </a:solidFill>
                            <a:latin typeface="Cambria Math" panose="02040503050406030204" pitchFamily="18" charset="0"/>
                          </a:rPr>
                        </m:ctrlPr>
                      </m:naryPr>
                      <m:sub/>
                      <m:sup/>
                      <m:e>
                        <m:r>
                          <a:rPr lang="en-US" sz="1100" b="0" i="1">
                            <a:solidFill>
                              <a:schemeClr val="tx1"/>
                            </a:solidFill>
                            <a:latin typeface="Cambria Math" panose="02040503050406030204" pitchFamily="18" charset="0"/>
                          </a:rPr>
                          <m:t>𝑃𝑎𝑖𝑑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𝐿𝑜𝑠𝑠𝑒𝑠</m:t>
                        </m:r>
                      </m:e>
                    </m:nary>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𝐶𝑎𝑠𝑒</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𝑅𝑒𝑠𝑒𝑟𝑣𝑒</m:t>
                    </m:r>
                  </m:oMath>
                </m:oMathPara>
              </a14:m>
              <a:endParaRPr lang="en-US" sz="1100">
                <a:solidFill>
                  <a:schemeClr val="tx1"/>
                </a:solidFill>
              </a:endParaRPr>
            </a:p>
          </xdr:txBody>
        </xdr:sp>
      </mc:Choice>
      <mc:Fallback xmlns="">
        <xdr:sp macro="" textlink="">
          <xdr:nvSpPr>
            <xdr:cNvPr id="2" name="TextBox 1">
              <a:extLst>
                <a:ext uri="{FF2B5EF4-FFF2-40B4-BE49-F238E27FC236}">
                  <a16:creationId xmlns:a16="http://schemas.microsoft.com/office/drawing/2014/main" id="{018FDF1D-4172-5941-9FEB-9D99974488F3}"/>
                </a:ext>
              </a:extLst>
            </xdr:cNvPr>
            <xdr:cNvSpPr txBox="1"/>
          </xdr:nvSpPr>
          <xdr:spPr>
            <a:xfrm>
              <a:off x="931333" y="8466667"/>
              <a:ext cx="3536802"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𝐶𝑌 𝑅𝑒𝑝𝑜𝑟𝑡𝑒𝑑 𝐿𝑜𝑠𝑠=∑▒〖𝑃𝑎𝑖𝑑 𝐿𝑜𝑠𝑠𝑒𝑠〗+</a:t>
              </a:r>
              <a:r>
                <a:rPr lang="en-US" sz="1100" b="0" i="0">
                  <a:solidFill>
                    <a:schemeClr val="tx1"/>
                  </a:solidFill>
                  <a:latin typeface="Cambria Math" panose="02040503050406030204" pitchFamily="18" charset="0"/>
                  <a:ea typeface="Cambria Math" panose="02040503050406030204" pitchFamily="18" charset="0"/>
                </a:rPr>
                <a:t>∆𝐶𝑎𝑠𝑒 𝑅𝑒𝑠𝑒𝑟𝑣𝑒</a:t>
              </a:r>
              <a:endParaRPr lang="en-US" sz="1100">
                <a:solidFill>
                  <a:schemeClr val="tx1"/>
                </a:solidFill>
              </a:endParaRPr>
            </a:p>
          </xdr:txBody>
        </xdr:sp>
      </mc:Fallback>
    </mc:AlternateContent>
    <xdr:clientData/>
  </xdr:oneCellAnchor>
  <xdr:oneCellAnchor>
    <xdr:from>
      <xdr:col>1</xdr:col>
      <xdr:colOff>84667</xdr:colOff>
      <xdr:row>46</xdr:row>
      <xdr:rowOff>158748</xdr:rowOff>
    </xdr:from>
    <xdr:ext cx="2080121" cy="502189"/>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A889561E-5ECD-B646-8913-8092F31B3873}"/>
                </a:ext>
              </a:extLst>
            </xdr:cNvPr>
            <xdr:cNvSpPr txBox="1"/>
          </xdr:nvSpPr>
          <xdr:spPr>
            <a:xfrm>
              <a:off x="910167" y="8498415"/>
              <a:ext cx="208012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𝐶𝑌</m:t>
                    </m:r>
                    <m:r>
                      <a:rPr lang="en-US" sz="1100" b="0" i="1">
                        <a:latin typeface="Cambria Math" panose="02040503050406030204" pitchFamily="18" charset="0"/>
                      </a:rPr>
                      <m:t> </m:t>
                    </m:r>
                    <m:r>
                      <a:rPr lang="en-US" sz="1100" b="0" i="1">
                        <a:latin typeface="Cambria Math" panose="02040503050406030204" pitchFamily="18" charset="0"/>
                      </a:rPr>
                      <m:t>𝑃𝑎𝑖𝑑</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m:t>
                    </m:r>
                    <m:nary>
                      <m:naryPr>
                        <m:chr m:val="∑"/>
                        <m:subHide m:val="on"/>
                        <m:supHide m:val="on"/>
                        <m:ctrlPr>
                          <a:rPr lang="en-US" sz="1100" b="0" i="1">
                            <a:latin typeface="Cambria Math" panose="02040503050406030204" pitchFamily="18" charset="0"/>
                          </a:rPr>
                        </m:ctrlPr>
                      </m:naryPr>
                      <m:sub/>
                      <m:sup/>
                      <m:e>
                        <m:r>
                          <a:rPr lang="en-US" sz="1100" b="0" i="1">
                            <a:latin typeface="Cambria Math" panose="02040503050406030204" pitchFamily="18" charset="0"/>
                          </a:rPr>
                          <m:t>𝑃𝑎𝑖𝑑</m:t>
                        </m:r>
                        <m:r>
                          <a:rPr lang="en-US" sz="1100" b="0" i="1">
                            <a:latin typeface="Cambria Math" panose="02040503050406030204" pitchFamily="18" charset="0"/>
                          </a:rPr>
                          <m:t> </m:t>
                        </m:r>
                        <m:r>
                          <a:rPr lang="en-US" sz="1100" b="0" i="1">
                            <a:latin typeface="Cambria Math" panose="02040503050406030204" pitchFamily="18" charset="0"/>
                          </a:rPr>
                          <m:t>𝐿𝑜𝑠𝑠𝑒𝑠</m:t>
                        </m:r>
                      </m:e>
                    </m:nary>
                  </m:oMath>
                </m:oMathPara>
              </a14:m>
              <a:endParaRPr lang="en-US" sz="1100"/>
            </a:p>
          </xdr:txBody>
        </xdr:sp>
      </mc:Choice>
      <mc:Fallback xmlns="">
        <xdr:sp macro="" textlink="">
          <xdr:nvSpPr>
            <xdr:cNvPr id="8" name="TextBox 7">
              <a:extLst>
                <a:ext uri="{FF2B5EF4-FFF2-40B4-BE49-F238E27FC236}">
                  <a16:creationId xmlns:a16="http://schemas.microsoft.com/office/drawing/2014/main" id="{A889561E-5ECD-B646-8913-8092F31B3873}"/>
                </a:ext>
              </a:extLst>
            </xdr:cNvPr>
            <xdr:cNvSpPr txBox="1"/>
          </xdr:nvSpPr>
          <xdr:spPr>
            <a:xfrm>
              <a:off x="910167" y="8498415"/>
              <a:ext cx="208012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𝐶𝑌 𝑃𝑎𝑖𝑑 𝐿𝑜𝑠𝑠=∑▒〖𝑃𝑎𝑖𝑑 𝐿𝑜𝑠𝑠𝑒𝑠〗</a:t>
              </a:r>
              <a:endParaRPr lang="en-US" sz="1100"/>
            </a:p>
          </xdr:txBody>
        </xdr:sp>
      </mc:Fallback>
    </mc:AlternateContent>
    <xdr:clientData/>
  </xdr:oneCellAnchor>
  <xdr:oneCellAnchor>
    <xdr:from>
      <xdr:col>1</xdr:col>
      <xdr:colOff>105833</xdr:colOff>
      <xdr:row>58</xdr:row>
      <xdr:rowOff>116418</xdr:rowOff>
    </xdr:from>
    <xdr:ext cx="3936912" cy="502189"/>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F672168D-0440-0648-82C2-5DA720A586AF}"/>
                </a:ext>
              </a:extLst>
            </xdr:cNvPr>
            <xdr:cNvSpPr txBox="1"/>
          </xdr:nvSpPr>
          <xdr:spPr>
            <a:xfrm>
              <a:off x="931333" y="11874501"/>
              <a:ext cx="3936912"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𝐴𝑌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𝑅𝑒𝑝𝑜𝑟𝑡𝑒𝑑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𝐿𝑜𝑠𝑠</m:t>
                    </m:r>
                    <m:r>
                      <a:rPr lang="en-US" sz="1100" b="0" i="1">
                        <a:solidFill>
                          <a:schemeClr val="tx1"/>
                        </a:solidFill>
                        <a:latin typeface="Cambria Math" panose="02040503050406030204" pitchFamily="18" charset="0"/>
                      </a:rPr>
                      <m:t>=</m:t>
                    </m:r>
                    <m:nary>
                      <m:naryPr>
                        <m:chr m:val="∑"/>
                        <m:subHide m:val="on"/>
                        <m:supHide m:val="on"/>
                        <m:ctrlPr>
                          <a:rPr lang="en-US" sz="1100" b="0" i="1">
                            <a:solidFill>
                              <a:schemeClr val="tx1"/>
                            </a:solidFill>
                            <a:latin typeface="Cambria Math" panose="02040503050406030204" pitchFamily="18" charset="0"/>
                          </a:rPr>
                        </m:ctrlPr>
                      </m:naryPr>
                      <m:sub/>
                      <m:sup/>
                      <m:e>
                        <m:r>
                          <a:rPr lang="en-US" sz="1100" b="0" i="1">
                            <a:solidFill>
                              <a:schemeClr val="tx1"/>
                            </a:solidFill>
                            <a:latin typeface="Cambria Math" panose="02040503050406030204" pitchFamily="18" charset="0"/>
                          </a:rPr>
                          <m:t>𝑃𝑎𝑖𝑑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𝐿𝑜𝑠𝑠𝑒𝑠</m:t>
                        </m:r>
                      </m:e>
                    </m:nary>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𝐶𝑎𝑠𝑒</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𝑅𝑒𝑠𝑒𝑟𝑣</m:t>
                    </m:r>
                    <m:sSub>
                      <m:sSubPr>
                        <m:ctrlPr>
                          <a:rPr lang="en-US" sz="1100" b="0" i="1">
                            <a:solidFill>
                              <a:schemeClr val="tx1"/>
                            </a:solidFill>
                            <a:latin typeface="Cambria Math" panose="02040503050406030204" pitchFamily="18" charset="0"/>
                            <a:ea typeface="Cambria Math" panose="02040503050406030204" pitchFamily="18" charset="0"/>
                          </a:rPr>
                        </m:ctrlPr>
                      </m:sSubPr>
                      <m:e>
                        <m:r>
                          <a:rPr lang="en-US" sz="1100" b="0" i="1">
                            <a:solidFill>
                              <a:schemeClr val="tx1"/>
                            </a:solidFill>
                            <a:latin typeface="Cambria Math" panose="02040503050406030204" pitchFamily="18" charset="0"/>
                            <a:ea typeface="Cambria Math" panose="02040503050406030204" pitchFamily="18" charset="0"/>
                          </a:rPr>
                          <m:t>𝑒𝑠</m:t>
                        </m:r>
                      </m:e>
                      <m:sub>
                        <m:r>
                          <a:rPr lang="en-US" sz="1100" b="0" i="1">
                            <a:solidFill>
                              <a:schemeClr val="tx1"/>
                            </a:solidFill>
                            <a:latin typeface="Cambria Math" panose="02040503050406030204" pitchFamily="18" charset="0"/>
                            <a:ea typeface="Cambria Math" panose="02040503050406030204" pitchFamily="18" charset="0"/>
                          </a:rPr>
                          <m:t>𝑒𝑣𝑎𝑙</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𝑑𝑎𝑡𝑒</m:t>
                        </m:r>
                      </m:sub>
                    </m:sSub>
                  </m:oMath>
                </m:oMathPara>
              </a14:m>
              <a:endParaRPr lang="en-US" sz="1100" b="0">
                <a:solidFill>
                  <a:schemeClr val="tx1"/>
                </a:solidFill>
                <a:ea typeface="Cambria Math" panose="02040503050406030204" pitchFamily="18" charset="0"/>
              </a:endParaRPr>
            </a:p>
          </xdr:txBody>
        </xdr:sp>
      </mc:Choice>
      <mc:Fallback xmlns="">
        <xdr:sp macro="" textlink="">
          <xdr:nvSpPr>
            <xdr:cNvPr id="6" name="TextBox 5">
              <a:extLst>
                <a:ext uri="{FF2B5EF4-FFF2-40B4-BE49-F238E27FC236}">
                  <a16:creationId xmlns:a16="http://schemas.microsoft.com/office/drawing/2014/main" id="{F672168D-0440-0648-82C2-5DA720A586AF}"/>
                </a:ext>
              </a:extLst>
            </xdr:cNvPr>
            <xdr:cNvSpPr txBox="1"/>
          </xdr:nvSpPr>
          <xdr:spPr>
            <a:xfrm>
              <a:off x="931333" y="11874501"/>
              <a:ext cx="3936912"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𝐴𝑌 𝑅𝑒𝑝𝑜𝑟𝑡𝑒𝑑 𝐿𝑜𝑠𝑠=∑▒〖𝑃𝑎𝑖𝑑 𝐿𝑜𝑠𝑠𝑒𝑠〗+</a:t>
              </a:r>
              <a:r>
                <a:rPr lang="en-US" sz="1100" b="0" i="0">
                  <a:solidFill>
                    <a:schemeClr val="tx1"/>
                  </a:solidFill>
                  <a:latin typeface="Cambria Math" panose="02040503050406030204" pitchFamily="18" charset="0"/>
                  <a:ea typeface="Cambria Math" panose="02040503050406030204" pitchFamily="18" charset="0"/>
                </a:rPr>
                <a:t>𝐶𝑎𝑠𝑒 𝑅𝑒𝑠𝑒𝑟𝑣〖𝑒𝑠〗_(𝑒𝑣𝑎𝑙 𝑑𝑎𝑡𝑒)</a:t>
              </a:r>
              <a:endParaRPr lang="en-US" sz="1100" b="0">
                <a:solidFill>
                  <a:schemeClr val="tx1"/>
                </a:solidFill>
                <a:ea typeface="Cambria Math" panose="02040503050406030204" pitchFamily="18" charset="0"/>
              </a:endParaRPr>
            </a:p>
          </xdr:txBody>
        </xdr:sp>
      </mc:Fallback>
    </mc:AlternateContent>
    <xdr:clientData/>
  </xdr:oneCellAnchor>
  <xdr:oneCellAnchor>
    <xdr:from>
      <xdr:col>1</xdr:col>
      <xdr:colOff>95249</xdr:colOff>
      <xdr:row>61</xdr:row>
      <xdr:rowOff>201083</xdr:rowOff>
    </xdr:from>
    <xdr:ext cx="2080121" cy="502189"/>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5404A377-95A1-9F43-B7D7-EE1BEDF337E4}"/>
                </a:ext>
              </a:extLst>
            </xdr:cNvPr>
            <xdr:cNvSpPr txBox="1"/>
          </xdr:nvSpPr>
          <xdr:spPr>
            <a:xfrm>
              <a:off x="920749" y="10752666"/>
              <a:ext cx="208012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𝐴𝑌</m:t>
                    </m:r>
                    <m:r>
                      <a:rPr lang="en-US" sz="1100" b="0" i="1">
                        <a:latin typeface="Cambria Math" panose="02040503050406030204" pitchFamily="18" charset="0"/>
                      </a:rPr>
                      <m:t> </m:t>
                    </m:r>
                    <m:r>
                      <a:rPr lang="en-US" sz="1100" b="0" i="1">
                        <a:latin typeface="Cambria Math" panose="02040503050406030204" pitchFamily="18" charset="0"/>
                      </a:rPr>
                      <m:t>𝑃𝑎𝑖𝑑</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m:t>
                    </m:r>
                    <m:nary>
                      <m:naryPr>
                        <m:chr m:val="∑"/>
                        <m:subHide m:val="on"/>
                        <m:supHide m:val="on"/>
                        <m:ctrlPr>
                          <a:rPr lang="en-US" sz="1100" b="0" i="1">
                            <a:latin typeface="Cambria Math" panose="02040503050406030204" pitchFamily="18" charset="0"/>
                          </a:rPr>
                        </m:ctrlPr>
                      </m:naryPr>
                      <m:sub/>
                      <m:sup/>
                      <m:e>
                        <m:r>
                          <a:rPr lang="en-US" sz="1100" b="0" i="1">
                            <a:latin typeface="Cambria Math" panose="02040503050406030204" pitchFamily="18" charset="0"/>
                          </a:rPr>
                          <m:t>𝑃𝑎𝑖𝑑</m:t>
                        </m:r>
                        <m:r>
                          <a:rPr lang="en-US" sz="1100" b="0" i="1">
                            <a:latin typeface="Cambria Math" panose="02040503050406030204" pitchFamily="18" charset="0"/>
                          </a:rPr>
                          <m:t> </m:t>
                        </m:r>
                        <m:r>
                          <a:rPr lang="en-US" sz="1100" b="0" i="1">
                            <a:latin typeface="Cambria Math" panose="02040503050406030204" pitchFamily="18" charset="0"/>
                          </a:rPr>
                          <m:t>𝐿𝑜𝑠𝑠𝑒𝑠</m:t>
                        </m:r>
                      </m:e>
                    </m:nary>
                  </m:oMath>
                </m:oMathPara>
              </a14:m>
              <a:endParaRPr lang="en-US" sz="1100"/>
            </a:p>
          </xdr:txBody>
        </xdr:sp>
      </mc:Choice>
      <mc:Fallback xmlns="">
        <xdr:sp macro="" textlink="">
          <xdr:nvSpPr>
            <xdr:cNvPr id="9" name="TextBox 8">
              <a:extLst>
                <a:ext uri="{FF2B5EF4-FFF2-40B4-BE49-F238E27FC236}">
                  <a16:creationId xmlns:a16="http://schemas.microsoft.com/office/drawing/2014/main" id="{5404A377-95A1-9F43-B7D7-EE1BEDF337E4}"/>
                </a:ext>
              </a:extLst>
            </xdr:cNvPr>
            <xdr:cNvSpPr txBox="1"/>
          </xdr:nvSpPr>
          <xdr:spPr>
            <a:xfrm>
              <a:off x="920749" y="10752666"/>
              <a:ext cx="208012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𝐴𝑌 𝑃𝑎𝑖𝑑 𝐿𝑜𝑠𝑠=∑▒〖𝑃𝑎𝑖𝑑 𝐿𝑜𝑠𝑠𝑒𝑠〗</a:t>
              </a:r>
              <a:endParaRPr lang="en-US" sz="1100"/>
            </a:p>
          </xdr:txBody>
        </xdr:sp>
      </mc:Fallback>
    </mc:AlternateContent>
    <xdr:clientData/>
  </xdr:oneCellAnchor>
  <xdr:oneCellAnchor>
    <xdr:from>
      <xdr:col>1</xdr:col>
      <xdr:colOff>84668</xdr:colOff>
      <xdr:row>73</xdr:row>
      <xdr:rowOff>148166</xdr:rowOff>
    </xdr:from>
    <xdr:ext cx="3935052" cy="502189"/>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7AF4DB01-93EB-EA4B-88F6-6EF172111D0A}"/>
                </a:ext>
              </a:extLst>
            </xdr:cNvPr>
            <xdr:cNvSpPr txBox="1"/>
          </xdr:nvSpPr>
          <xdr:spPr>
            <a:xfrm>
              <a:off x="910168" y="13715999"/>
              <a:ext cx="3935052"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𝑃𝑌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𝑅𝑒𝑝𝑜𝑟𝑡𝑒𝑑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𝐿𝑜𝑠𝑠</m:t>
                    </m:r>
                    <m:r>
                      <a:rPr lang="en-US" sz="1100" b="0" i="1">
                        <a:solidFill>
                          <a:schemeClr val="tx1"/>
                        </a:solidFill>
                        <a:latin typeface="Cambria Math" panose="02040503050406030204" pitchFamily="18" charset="0"/>
                      </a:rPr>
                      <m:t>=</m:t>
                    </m:r>
                    <m:nary>
                      <m:naryPr>
                        <m:chr m:val="∑"/>
                        <m:subHide m:val="on"/>
                        <m:supHide m:val="on"/>
                        <m:ctrlPr>
                          <a:rPr lang="en-US" sz="1100" b="0" i="1">
                            <a:solidFill>
                              <a:schemeClr val="tx1"/>
                            </a:solidFill>
                            <a:latin typeface="Cambria Math" panose="02040503050406030204" pitchFamily="18" charset="0"/>
                          </a:rPr>
                        </m:ctrlPr>
                      </m:naryPr>
                      <m:sub/>
                      <m:sup/>
                      <m:e>
                        <m:r>
                          <a:rPr lang="en-US" sz="1100" b="0" i="1">
                            <a:solidFill>
                              <a:schemeClr val="tx1"/>
                            </a:solidFill>
                            <a:latin typeface="Cambria Math" panose="02040503050406030204" pitchFamily="18" charset="0"/>
                          </a:rPr>
                          <m:t>𝑃𝑎𝑖𝑑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𝐿𝑜𝑠𝑠𝑒𝑠</m:t>
                        </m:r>
                      </m:e>
                    </m:nary>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𝐶𝑎𝑠𝑒</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𝑅𝑒𝑠𝑒𝑟𝑣</m:t>
                    </m:r>
                    <m:sSub>
                      <m:sSubPr>
                        <m:ctrlPr>
                          <a:rPr lang="en-US" sz="1100" b="0" i="1">
                            <a:solidFill>
                              <a:schemeClr val="tx1"/>
                            </a:solidFill>
                            <a:latin typeface="Cambria Math" panose="02040503050406030204" pitchFamily="18" charset="0"/>
                            <a:ea typeface="Cambria Math" panose="02040503050406030204" pitchFamily="18" charset="0"/>
                          </a:rPr>
                        </m:ctrlPr>
                      </m:sSubPr>
                      <m:e>
                        <m:r>
                          <a:rPr lang="en-US" sz="1100" b="0" i="1">
                            <a:solidFill>
                              <a:schemeClr val="tx1"/>
                            </a:solidFill>
                            <a:latin typeface="Cambria Math" panose="02040503050406030204" pitchFamily="18" charset="0"/>
                            <a:ea typeface="Cambria Math" panose="02040503050406030204" pitchFamily="18" charset="0"/>
                          </a:rPr>
                          <m:t>𝑒𝑠</m:t>
                        </m:r>
                      </m:e>
                      <m:sub>
                        <m:r>
                          <a:rPr lang="en-US" sz="1100" b="0" i="1">
                            <a:solidFill>
                              <a:schemeClr val="tx1"/>
                            </a:solidFill>
                            <a:latin typeface="Cambria Math" panose="02040503050406030204" pitchFamily="18" charset="0"/>
                            <a:ea typeface="Cambria Math" panose="02040503050406030204" pitchFamily="18" charset="0"/>
                          </a:rPr>
                          <m:t>𝑒𝑣𝑎𝑙</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𝑑𝑎𝑡𝑒</m:t>
                        </m:r>
                      </m:sub>
                    </m:sSub>
                  </m:oMath>
                </m:oMathPara>
              </a14:m>
              <a:endParaRPr lang="en-US" sz="1100">
                <a:solidFill>
                  <a:schemeClr val="tx1"/>
                </a:solidFill>
              </a:endParaRPr>
            </a:p>
          </xdr:txBody>
        </xdr:sp>
      </mc:Choice>
      <mc:Fallback xmlns="">
        <xdr:sp macro="" textlink="">
          <xdr:nvSpPr>
            <xdr:cNvPr id="10" name="TextBox 9">
              <a:extLst>
                <a:ext uri="{FF2B5EF4-FFF2-40B4-BE49-F238E27FC236}">
                  <a16:creationId xmlns:a16="http://schemas.microsoft.com/office/drawing/2014/main" id="{7AF4DB01-93EB-EA4B-88F6-6EF172111D0A}"/>
                </a:ext>
              </a:extLst>
            </xdr:cNvPr>
            <xdr:cNvSpPr txBox="1"/>
          </xdr:nvSpPr>
          <xdr:spPr>
            <a:xfrm>
              <a:off x="910168" y="13715999"/>
              <a:ext cx="3935052"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𝑃𝑌 𝑅𝑒𝑝𝑜𝑟𝑡𝑒𝑑 𝐿𝑜𝑠𝑠=∑▒〖𝑃𝑎𝑖𝑑 𝐿𝑜𝑠𝑠𝑒𝑠〗+</a:t>
              </a:r>
              <a:r>
                <a:rPr lang="en-US" sz="1100" b="0" i="0">
                  <a:solidFill>
                    <a:schemeClr val="tx1"/>
                  </a:solidFill>
                  <a:latin typeface="Cambria Math" panose="02040503050406030204" pitchFamily="18" charset="0"/>
                  <a:ea typeface="Cambria Math" panose="02040503050406030204" pitchFamily="18" charset="0"/>
                </a:rPr>
                <a:t>𝐶𝑎𝑠𝑒 𝑅𝑒𝑠𝑒𝑟𝑣〖𝑒𝑠〗_(𝑒𝑣𝑎𝑙 𝑑𝑎𝑡𝑒)</a:t>
              </a:r>
              <a:endParaRPr lang="en-US" sz="1100">
                <a:solidFill>
                  <a:schemeClr val="tx1"/>
                </a:solidFill>
              </a:endParaRPr>
            </a:p>
          </xdr:txBody>
        </xdr:sp>
      </mc:Fallback>
    </mc:AlternateContent>
    <xdr:clientData/>
  </xdr:oneCellAnchor>
  <xdr:oneCellAnchor>
    <xdr:from>
      <xdr:col>1</xdr:col>
      <xdr:colOff>84667</xdr:colOff>
      <xdr:row>77</xdr:row>
      <xdr:rowOff>31748</xdr:rowOff>
    </xdr:from>
    <xdr:ext cx="2080121" cy="502189"/>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3F687A8D-72B2-8A4A-8F41-1CDAA32A153A}"/>
                </a:ext>
              </a:extLst>
            </xdr:cNvPr>
            <xdr:cNvSpPr txBox="1"/>
          </xdr:nvSpPr>
          <xdr:spPr>
            <a:xfrm>
              <a:off x="910167" y="13800665"/>
              <a:ext cx="208012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𝑃𝑌</m:t>
                    </m:r>
                    <m:r>
                      <a:rPr lang="en-US" sz="1100" b="0" i="1">
                        <a:latin typeface="Cambria Math" panose="02040503050406030204" pitchFamily="18" charset="0"/>
                      </a:rPr>
                      <m:t> </m:t>
                    </m:r>
                    <m:r>
                      <a:rPr lang="en-US" sz="1100" b="0" i="1">
                        <a:latin typeface="Cambria Math" panose="02040503050406030204" pitchFamily="18" charset="0"/>
                      </a:rPr>
                      <m:t>𝑃𝑎𝑖𝑑</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m:t>
                    </m:r>
                    <m:nary>
                      <m:naryPr>
                        <m:chr m:val="∑"/>
                        <m:subHide m:val="on"/>
                        <m:supHide m:val="on"/>
                        <m:ctrlPr>
                          <a:rPr lang="en-US" sz="1100" b="0" i="1">
                            <a:latin typeface="Cambria Math" panose="02040503050406030204" pitchFamily="18" charset="0"/>
                          </a:rPr>
                        </m:ctrlPr>
                      </m:naryPr>
                      <m:sub/>
                      <m:sup/>
                      <m:e>
                        <m:r>
                          <a:rPr lang="en-US" sz="1100" b="0" i="1">
                            <a:latin typeface="Cambria Math" panose="02040503050406030204" pitchFamily="18" charset="0"/>
                          </a:rPr>
                          <m:t>𝑃𝑎𝑖𝑑</m:t>
                        </m:r>
                        <m:r>
                          <a:rPr lang="en-US" sz="1100" b="0" i="1">
                            <a:latin typeface="Cambria Math" panose="02040503050406030204" pitchFamily="18" charset="0"/>
                          </a:rPr>
                          <m:t> </m:t>
                        </m:r>
                        <m:r>
                          <a:rPr lang="en-US" sz="1100" b="0" i="1">
                            <a:latin typeface="Cambria Math" panose="02040503050406030204" pitchFamily="18" charset="0"/>
                          </a:rPr>
                          <m:t>𝐿𝑜𝑠𝑠𝑒𝑠</m:t>
                        </m:r>
                      </m:e>
                    </m:nary>
                  </m:oMath>
                </m:oMathPara>
              </a14:m>
              <a:endParaRPr lang="en-US" sz="1100"/>
            </a:p>
          </xdr:txBody>
        </xdr:sp>
      </mc:Choice>
      <mc:Fallback xmlns="">
        <xdr:sp macro="" textlink="">
          <xdr:nvSpPr>
            <xdr:cNvPr id="11" name="TextBox 10">
              <a:extLst>
                <a:ext uri="{FF2B5EF4-FFF2-40B4-BE49-F238E27FC236}">
                  <a16:creationId xmlns:a16="http://schemas.microsoft.com/office/drawing/2014/main" id="{3F687A8D-72B2-8A4A-8F41-1CDAA32A153A}"/>
                </a:ext>
              </a:extLst>
            </xdr:cNvPr>
            <xdr:cNvSpPr txBox="1"/>
          </xdr:nvSpPr>
          <xdr:spPr>
            <a:xfrm>
              <a:off x="910167" y="13800665"/>
              <a:ext cx="2080121"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𝑃𝑌 𝑃𝑎𝑖𝑑 𝐿𝑜𝑠𝑠=∑▒〖𝑃𝑎𝑖𝑑 𝐿𝑜𝑠𝑠𝑒𝑠〗</a:t>
              </a:r>
              <a:endParaRPr lang="en-US" sz="1100"/>
            </a:p>
          </xdr:txBody>
        </xdr:sp>
      </mc:Fallback>
    </mc:AlternateContent>
    <xdr:clientData/>
  </xdr:oneCellAnchor>
  <xdr:oneCellAnchor>
    <xdr:from>
      <xdr:col>1</xdr:col>
      <xdr:colOff>84667</xdr:colOff>
      <xdr:row>85</xdr:row>
      <xdr:rowOff>158751</xdr:rowOff>
    </xdr:from>
    <xdr:ext cx="3937425" cy="502189"/>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903E9EB-CDC4-2A44-B15E-C379CF6E5D6F}"/>
                </a:ext>
              </a:extLst>
            </xdr:cNvPr>
            <xdr:cNvSpPr txBox="1"/>
          </xdr:nvSpPr>
          <xdr:spPr>
            <a:xfrm>
              <a:off x="910167" y="15737418"/>
              <a:ext cx="3937425"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latin typeface="Cambria Math" panose="02040503050406030204" pitchFamily="18" charset="0"/>
                      </a:rPr>
                      <m:t>𝑅𝑌</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𝑅𝑒𝑝𝑜𝑟𝑡𝑒𝑑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𝐿𝑜𝑠𝑠</m:t>
                    </m:r>
                    <m:r>
                      <a:rPr lang="en-US" sz="1100" b="0" i="1">
                        <a:solidFill>
                          <a:schemeClr val="tx1"/>
                        </a:solidFill>
                        <a:latin typeface="Cambria Math" panose="02040503050406030204" pitchFamily="18" charset="0"/>
                      </a:rPr>
                      <m:t>=</m:t>
                    </m:r>
                    <m:nary>
                      <m:naryPr>
                        <m:chr m:val="∑"/>
                        <m:subHide m:val="on"/>
                        <m:supHide m:val="on"/>
                        <m:ctrlPr>
                          <a:rPr lang="en-US" sz="1100" b="0" i="1">
                            <a:solidFill>
                              <a:schemeClr val="tx1"/>
                            </a:solidFill>
                            <a:latin typeface="Cambria Math" panose="02040503050406030204" pitchFamily="18" charset="0"/>
                          </a:rPr>
                        </m:ctrlPr>
                      </m:naryPr>
                      <m:sub/>
                      <m:sup/>
                      <m:e>
                        <m:r>
                          <a:rPr lang="en-US" sz="1100" b="0" i="1">
                            <a:solidFill>
                              <a:schemeClr val="tx1"/>
                            </a:solidFill>
                            <a:latin typeface="Cambria Math" panose="02040503050406030204" pitchFamily="18" charset="0"/>
                          </a:rPr>
                          <m:t>𝑃𝑎𝑖𝑑</m:t>
                        </m:r>
                        <m:r>
                          <a:rPr lang="en-US" sz="1100" b="0" i="1">
                            <a:solidFill>
                              <a:schemeClr val="tx1"/>
                            </a:solidFill>
                            <a:latin typeface="Cambria Math" panose="02040503050406030204" pitchFamily="18" charset="0"/>
                          </a:rPr>
                          <m:t> </m:t>
                        </m:r>
                        <m:r>
                          <a:rPr lang="en-US" sz="1100" b="0" i="1">
                            <a:solidFill>
                              <a:schemeClr val="tx1"/>
                            </a:solidFill>
                            <a:latin typeface="Cambria Math" panose="02040503050406030204" pitchFamily="18" charset="0"/>
                          </a:rPr>
                          <m:t>𝐿𝑜𝑠𝑠𝑒𝑠</m:t>
                        </m:r>
                      </m:e>
                    </m:nary>
                    <m:r>
                      <a:rPr lang="en-US" sz="1100" b="0" i="1">
                        <a:solidFill>
                          <a:schemeClr val="tx1"/>
                        </a:solidFill>
                        <a:latin typeface="Cambria Math" panose="02040503050406030204" pitchFamily="18" charset="0"/>
                      </a:rPr>
                      <m:t>+</m:t>
                    </m:r>
                    <m:r>
                      <a:rPr lang="en-US" sz="1100" b="0" i="1">
                        <a:solidFill>
                          <a:schemeClr val="tx1"/>
                        </a:solidFill>
                        <a:latin typeface="Cambria Math" panose="02040503050406030204" pitchFamily="18" charset="0"/>
                        <a:ea typeface="Cambria Math" panose="02040503050406030204" pitchFamily="18" charset="0"/>
                      </a:rPr>
                      <m:t>𝐶𝑎𝑠𝑒</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𝑅𝑒𝑠𝑒𝑟𝑣</m:t>
                    </m:r>
                    <m:sSub>
                      <m:sSubPr>
                        <m:ctrlPr>
                          <a:rPr lang="en-US" sz="1100" b="0" i="1">
                            <a:solidFill>
                              <a:schemeClr val="tx1"/>
                            </a:solidFill>
                            <a:latin typeface="Cambria Math" panose="02040503050406030204" pitchFamily="18" charset="0"/>
                            <a:ea typeface="Cambria Math" panose="02040503050406030204" pitchFamily="18" charset="0"/>
                          </a:rPr>
                        </m:ctrlPr>
                      </m:sSubPr>
                      <m:e>
                        <m:r>
                          <a:rPr lang="en-US" sz="1100" b="0" i="1">
                            <a:solidFill>
                              <a:schemeClr val="tx1"/>
                            </a:solidFill>
                            <a:latin typeface="Cambria Math" panose="02040503050406030204" pitchFamily="18" charset="0"/>
                            <a:ea typeface="Cambria Math" panose="02040503050406030204" pitchFamily="18" charset="0"/>
                          </a:rPr>
                          <m:t>𝑒𝑠</m:t>
                        </m:r>
                      </m:e>
                      <m:sub>
                        <m:r>
                          <a:rPr lang="en-US" sz="1100" b="0" i="1">
                            <a:solidFill>
                              <a:schemeClr val="tx1"/>
                            </a:solidFill>
                            <a:latin typeface="Cambria Math" panose="02040503050406030204" pitchFamily="18" charset="0"/>
                            <a:ea typeface="Cambria Math" panose="02040503050406030204" pitchFamily="18" charset="0"/>
                          </a:rPr>
                          <m:t>𝑒𝑣𝑎𝑙</m:t>
                        </m:r>
                        <m:r>
                          <a:rPr lang="en-US" sz="1100" b="0" i="1">
                            <a:solidFill>
                              <a:schemeClr val="tx1"/>
                            </a:solidFill>
                            <a:latin typeface="Cambria Math" panose="02040503050406030204" pitchFamily="18" charset="0"/>
                            <a:ea typeface="Cambria Math" panose="02040503050406030204" pitchFamily="18" charset="0"/>
                          </a:rPr>
                          <m:t> </m:t>
                        </m:r>
                        <m:r>
                          <a:rPr lang="en-US" sz="1100" b="0" i="1">
                            <a:solidFill>
                              <a:schemeClr val="tx1"/>
                            </a:solidFill>
                            <a:latin typeface="Cambria Math" panose="02040503050406030204" pitchFamily="18" charset="0"/>
                            <a:ea typeface="Cambria Math" panose="02040503050406030204" pitchFamily="18" charset="0"/>
                          </a:rPr>
                          <m:t>𝑑𝑎𝑡𝑒</m:t>
                        </m:r>
                      </m:sub>
                    </m:sSub>
                  </m:oMath>
                </m:oMathPara>
              </a14:m>
              <a:endParaRPr lang="en-US" sz="1100">
                <a:solidFill>
                  <a:schemeClr val="tx1"/>
                </a:solidFill>
              </a:endParaRPr>
            </a:p>
          </xdr:txBody>
        </xdr:sp>
      </mc:Choice>
      <mc:Fallback xmlns="">
        <xdr:sp macro="" textlink="">
          <xdr:nvSpPr>
            <xdr:cNvPr id="12" name="TextBox 11">
              <a:extLst>
                <a:ext uri="{FF2B5EF4-FFF2-40B4-BE49-F238E27FC236}">
                  <a16:creationId xmlns:a16="http://schemas.microsoft.com/office/drawing/2014/main" id="{0903E9EB-CDC4-2A44-B15E-C379CF6E5D6F}"/>
                </a:ext>
              </a:extLst>
            </xdr:cNvPr>
            <xdr:cNvSpPr txBox="1"/>
          </xdr:nvSpPr>
          <xdr:spPr>
            <a:xfrm>
              <a:off x="910167" y="15737418"/>
              <a:ext cx="3937425"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solidFill>
                    <a:schemeClr val="tx1"/>
                  </a:solidFill>
                  <a:latin typeface="Cambria Math" panose="02040503050406030204" pitchFamily="18" charset="0"/>
                </a:rPr>
                <a:t>𝑅𝑌 𝑅𝑒𝑝𝑜𝑟𝑡𝑒𝑑 𝐿𝑜𝑠𝑠=∑▒〖𝑃𝑎𝑖𝑑 𝐿𝑜𝑠𝑠𝑒𝑠〗+</a:t>
              </a:r>
              <a:r>
                <a:rPr lang="en-US" sz="1100" b="0" i="0">
                  <a:solidFill>
                    <a:schemeClr val="tx1"/>
                  </a:solidFill>
                  <a:latin typeface="Cambria Math" panose="02040503050406030204" pitchFamily="18" charset="0"/>
                  <a:ea typeface="Cambria Math" panose="02040503050406030204" pitchFamily="18" charset="0"/>
                </a:rPr>
                <a:t>𝐶𝑎𝑠𝑒 𝑅𝑒𝑠𝑒𝑟𝑣〖𝑒𝑠〗_(𝑒𝑣𝑎𝑙 𝑑𝑎𝑡𝑒)</a:t>
              </a:r>
              <a:endParaRPr lang="en-US" sz="1100">
                <a:solidFill>
                  <a:schemeClr val="tx1"/>
                </a:solidFill>
              </a:endParaRPr>
            </a:p>
          </xdr:txBody>
        </xdr:sp>
      </mc:Fallback>
    </mc:AlternateContent>
    <xdr:clientData/>
  </xdr:oneCellAnchor>
  <xdr:oneCellAnchor>
    <xdr:from>
      <xdr:col>1</xdr:col>
      <xdr:colOff>84667</xdr:colOff>
      <xdr:row>89</xdr:row>
      <xdr:rowOff>42332</xdr:rowOff>
    </xdr:from>
    <xdr:ext cx="2085827" cy="502189"/>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370CD426-236B-594D-9387-AAB8A3506EEA}"/>
                </a:ext>
              </a:extLst>
            </xdr:cNvPr>
            <xdr:cNvSpPr txBox="1"/>
          </xdr:nvSpPr>
          <xdr:spPr>
            <a:xfrm>
              <a:off x="910167" y="15822082"/>
              <a:ext cx="2085827"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𝑅𝑌</m:t>
                    </m:r>
                    <m:r>
                      <a:rPr lang="en-US" sz="1100" b="0" i="1">
                        <a:latin typeface="Cambria Math" panose="02040503050406030204" pitchFamily="18" charset="0"/>
                      </a:rPr>
                      <m:t> </m:t>
                    </m:r>
                    <m:r>
                      <a:rPr lang="en-US" sz="1100" b="0" i="1">
                        <a:latin typeface="Cambria Math" panose="02040503050406030204" pitchFamily="18" charset="0"/>
                      </a:rPr>
                      <m:t>𝑃𝑎𝑖𝑑</m:t>
                    </m:r>
                    <m:r>
                      <a:rPr lang="en-US" sz="1100" b="0" i="1">
                        <a:latin typeface="Cambria Math" panose="02040503050406030204" pitchFamily="18" charset="0"/>
                      </a:rPr>
                      <m:t> </m:t>
                    </m:r>
                    <m:r>
                      <a:rPr lang="en-US" sz="1100" b="0" i="1">
                        <a:latin typeface="Cambria Math" panose="02040503050406030204" pitchFamily="18" charset="0"/>
                      </a:rPr>
                      <m:t>𝐿𝑜𝑠𝑠</m:t>
                    </m:r>
                    <m:r>
                      <a:rPr lang="en-US" sz="1100" b="0" i="1">
                        <a:latin typeface="Cambria Math" panose="02040503050406030204" pitchFamily="18" charset="0"/>
                      </a:rPr>
                      <m:t>=</m:t>
                    </m:r>
                    <m:nary>
                      <m:naryPr>
                        <m:chr m:val="∑"/>
                        <m:subHide m:val="on"/>
                        <m:supHide m:val="on"/>
                        <m:ctrlPr>
                          <a:rPr lang="en-US" sz="1100" b="0" i="1">
                            <a:latin typeface="Cambria Math" panose="02040503050406030204" pitchFamily="18" charset="0"/>
                          </a:rPr>
                        </m:ctrlPr>
                      </m:naryPr>
                      <m:sub/>
                      <m:sup/>
                      <m:e>
                        <m:r>
                          <a:rPr lang="en-US" sz="1100" b="0" i="1">
                            <a:latin typeface="Cambria Math" panose="02040503050406030204" pitchFamily="18" charset="0"/>
                          </a:rPr>
                          <m:t>𝑃𝑎𝑖𝑑</m:t>
                        </m:r>
                        <m:r>
                          <a:rPr lang="en-US" sz="1100" b="0" i="1">
                            <a:latin typeface="Cambria Math" panose="02040503050406030204" pitchFamily="18" charset="0"/>
                          </a:rPr>
                          <m:t> </m:t>
                        </m:r>
                        <m:r>
                          <a:rPr lang="en-US" sz="1100" b="0" i="1">
                            <a:latin typeface="Cambria Math" panose="02040503050406030204" pitchFamily="18" charset="0"/>
                          </a:rPr>
                          <m:t>𝐿𝑜𝑠𝑠𝑒𝑠</m:t>
                        </m:r>
                      </m:e>
                    </m:nary>
                  </m:oMath>
                </m:oMathPara>
              </a14:m>
              <a:endParaRPr lang="en-US" sz="1100"/>
            </a:p>
          </xdr:txBody>
        </xdr:sp>
      </mc:Choice>
      <mc:Fallback xmlns="">
        <xdr:sp macro="" textlink="">
          <xdr:nvSpPr>
            <xdr:cNvPr id="13" name="TextBox 12">
              <a:extLst>
                <a:ext uri="{FF2B5EF4-FFF2-40B4-BE49-F238E27FC236}">
                  <a16:creationId xmlns:a16="http://schemas.microsoft.com/office/drawing/2014/main" id="{370CD426-236B-594D-9387-AAB8A3506EEA}"/>
                </a:ext>
              </a:extLst>
            </xdr:cNvPr>
            <xdr:cNvSpPr txBox="1"/>
          </xdr:nvSpPr>
          <xdr:spPr>
            <a:xfrm>
              <a:off x="910167" y="15822082"/>
              <a:ext cx="2085827" cy="5021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45720" tIns="45720" rIns="45720" bIns="45720" rtlCol="0" anchor="t">
              <a:spAutoFit/>
            </a:bodyPr>
            <a:lstStyle/>
            <a:p>
              <a:pPr/>
              <a:r>
                <a:rPr lang="en-US" sz="1100" b="0" i="0">
                  <a:latin typeface="Cambria Math" panose="02040503050406030204" pitchFamily="18" charset="0"/>
                </a:rPr>
                <a:t>𝑅𝑌 𝑃𝑎𝑖𝑑 𝐿𝑜𝑠𝑠=∑▒〖𝑃𝑎𝑖𝑑 𝐿𝑜𝑠𝑠𝑒𝑠〗</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E3444-BF19-5444-BEE5-4AC47B35CE61}">
  <sheetPr codeName="Sheet2">
    <pageSetUpPr fitToPage="1"/>
  </sheetPr>
  <dimension ref="A1:BM222"/>
  <sheetViews>
    <sheetView showGridLines="0" tabSelected="1" zoomScale="120" zoomScaleNormal="120" workbookViewId="0"/>
  </sheetViews>
  <sheetFormatPr baseColWidth="10" defaultColWidth="10.83203125" defaultRowHeight="16" x14ac:dyDescent="0.2"/>
  <cols>
    <col min="1" max="1" width="10.83203125" style="1"/>
    <col min="2" max="3" width="10.83203125" style="1" customWidth="1"/>
    <col min="4" max="5" width="10.83203125" style="1"/>
    <col min="6" max="6" width="10.83203125" style="1" customWidth="1"/>
    <col min="7" max="7" width="11.1640625" style="1" customWidth="1"/>
    <col min="8" max="9" width="10.83203125" style="1"/>
    <col min="10" max="10" width="10.83203125" style="1" customWidth="1"/>
    <col min="11" max="16384" width="10.83203125" style="1"/>
  </cols>
  <sheetData>
    <row r="1" spans="1:49" ht="19" x14ac:dyDescent="0.25">
      <c r="A1" s="29" t="s">
        <v>250</v>
      </c>
      <c r="B1" s="55"/>
      <c r="C1" s="55"/>
      <c r="D1" s="55"/>
      <c r="E1" s="55"/>
      <c r="F1" s="55"/>
      <c r="G1" s="55"/>
      <c r="H1" s="55"/>
      <c r="I1" s="55"/>
      <c r="J1" s="22"/>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row>
    <row r="2" spans="1:49" x14ac:dyDescent="0.2">
      <c r="A2" s="56"/>
      <c r="B2" s="55"/>
      <c r="C2" s="55"/>
      <c r="D2" s="55"/>
      <c r="E2" s="55"/>
      <c r="F2" s="55"/>
      <c r="G2" s="55"/>
      <c r="H2" s="55"/>
      <c r="I2" s="55"/>
      <c r="J2" s="22"/>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row>
    <row r="3" spans="1:49" x14ac:dyDescent="0.2">
      <c r="A3" s="56"/>
      <c r="B3" s="28" t="s">
        <v>11</v>
      </c>
      <c r="C3" s="55"/>
      <c r="D3" s="55"/>
      <c r="E3" s="55"/>
      <c r="F3" s="55"/>
      <c r="G3" s="55"/>
      <c r="H3" s="55"/>
      <c r="I3" s="55"/>
      <c r="J3" s="22"/>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row>
    <row r="4" spans="1:49" ht="16" customHeight="1" x14ac:dyDescent="0.2">
      <c r="A4" s="56"/>
      <c r="B4" s="630" t="s">
        <v>87</v>
      </c>
      <c r="C4" s="631"/>
      <c r="D4" s="631"/>
      <c r="E4" s="631"/>
      <c r="F4" s="631"/>
      <c r="G4" s="631"/>
      <c r="H4" s="631"/>
      <c r="I4" s="631"/>
      <c r="J4" s="22"/>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row>
    <row r="5" spans="1:49" x14ac:dyDescent="0.2">
      <c r="A5" s="56"/>
      <c r="B5" s="631"/>
      <c r="C5" s="631"/>
      <c r="D5" s="631"/>
      <c r="E5" s="631"/>
      <c r="F5" s="631"/>
      <c r="G5" s="631"/>
      <c r="H5" s="631"/>
      <c r="I5" s="631"/>
      <c r="J5" s="22"/>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row>
    <row r="6" spans="1:49" x14ac:dyDescent="0.2">
      <c r="A6" s="56"/>
      <c r="B6" s="55"/>
      <c r="C6" s="55"/>
      <c r="D6" s="55"/>
      <c r="E6" s="55"/>
      <c r="F6" s="55"/>
      <c r="G6" s="55"/>
      <c r="H6" s="55"/>
      <c r="I6" s="55"/>
      <c r="J6" s="22"/>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row>
    <row r="7" spans="1:49" ht="34" x14ac:dyDescent="0.2">
      <c r="A7" s="56"/>
      <c r="B7" s="55"/>
      <c r="C7" s="545" t="s">
        <v>69</v>
      </c>
      <c r="D7" s="578" t="s">
        <v>64</v>
      </c>
      <c r="E7" s="578" t="s">
        <v>70</v>
      </c>
      <c r="F7" s="550" t="s">
        <v>71</v>
      </c>
      <c r="G7" s="55"/>
      <c r="H7" s="55"/>
      <c r="I7" s="55"/>
      <c r="J7" s="22"/>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row>
    <row r="8" spans="1:49" x14ac:dyDescent="0.2">
      <c r="A8" s="56"/>
      <c r="B8" s="55"/>
      <c r="C8" s="579" t="s">
        <v>20</v>
      </c>
      <c r="D8" s="67">
        <v>44105</v>
      </c>
      <c r="E8" s="67">
        <v>44286</v>
      </c>
      <c r="F8" s="66">
        <v>1</v>
      </c>
      <c r="G8" s="55"/>
      <c r="H8" s="55"/>
      <c r="I8" s="55"/>
      <c r="J8" s="22"/>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row>
    <row r="9" spans="1:49" x14ac:dyDescent="0.2">
      <c r="A9" s="56"/>
      <c r="B9" s="55"/>
      <c r="C9" s="579" t="s">
        <v>23</v>
      </c>
      <c r="D9" s="67">
        <v>44287</v>
      </c>
      <c r="E9" s="67">
        <v>44651</v>
      </c>
      <c r="F9" s="66">
        <v>3</v>
      </c>
      <c r="G9" s="55"/>
      <c r="H9" s="55"/>
      <c r="I9" s="55"/>
      <c r="J9" s="22"/>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row>
    <row r="10" spans="1:49" x14ac:dyDescent="0.2">
      <c r="A10" s="56"/>
      <c r="B10" s="55"/>
      <c r="C10" s="579" t="s">
        <v>72</v>
      </c>
      <c r="D10" s="67">
        <v>44378</v>
      </c>
      <c r="E10" s="67">
        <v>44742</v>
      </c>
      <c r="F10" s="66">
        <v>2</v>
      </c>
      <c r="G10" s="55"/>
      <c r="H10" s="55"/>
      <c r="I10" s="55"/>
      <c r="J10" s="22"/>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row>
    <row r="11" spans="1:49" x14ac:dyDescent="0.2">
      <c r="A11" s="56"/>
      <c r="B11" s="55"/>
      <c r="C11" s="579" t="s">
        <v>73</v>
      </c>
      <c r="D11" s="67">
        <v>44409</v>
      </c>
      <c r="E11" s="67">
        <v>44592</v>
      </c>
      <c r="F11" s="66">
        <v>2</v>
      </c>
      <c r="G11" s="55"/>
      <c r="H11" s="55"/>
      <c r="I11" s="55"/>
      <c r="J11" s="22"/>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row>
    <row r="12" spans="1:49" x14ac:dyDescent="0.2">
      <c r="A12" s="56"/>
      <c r="B12" s="55"/>
      <c r="C12" s="579" t="s">
        <v>74</v>
      </c>
      <c r="D12" s="580">
        <v>44562</v>
      </c>
      <c r="E12" s="580">
        <v>44742</v>
      </c>
      <c r="F12" s="66">
        <v>1</v>
      </c>
      <c r="G12" s="55"/>
      <c r="H12" s="55"/>
      <c r="I12" s="55"/>
      <c r="J12" s="22"/>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row>
    <row r="13" spans="1:49" x14ac:dyDescent="0.2">
      <c r="A13" s="56"/>
      <c r="B13" s="55"/>
      <c r="C13" s="581" t="s">
        <v>75</v>
      </c>
      <c r="D13" s="582">
        <v>44652</v>
      </c>
      <c r="E13" s="582">
        <v>45016</v>
      </c>
      <c r="F13" s="549">
        <v>2</v>
      </c>
      <c r="G13" s="55"/>
      <c r="H13" s="55"/>
      <c r="I13" s="55"/>
      <c r="J13" s="22"/>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row>
    <row r="14" spans="1:49" x14ac:dyDescent="0.2">
      <c r="A14" s="56"/>
      <c r="B14" s="55"/>
      <c r="C14" s="55"/>
      <c r="D14" s="55"/>
      <c r="E14" s="55"/>
      <c r="F14" s="55"/>
      <c r="G14" s="55"/>
      <c r="H14" s="55"/>
      <c r="I14" s="55"/>
      <c r="J14" s="22"/>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row>
    <row r="15" spans="1:49" ht="16" customHeight="1" x14ac:dyDescent="0.2">
      <c r="A15" s="56"/>
      <c r="B15" s="584" t="s">
        <v>110</v>
      </c>
      <c r="C15" s="55"/>
      <c r="D15" s="55"/>
      <c r="E15" s="55"/>
      <c r="F15" s="55"/>
      <c r="G15" s="55"/>
      <c r="H15" s="55"/>
      <c r="I15" s="55"/>
      <c r="J15" s="22"/>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row>
    <row r="16" spans="1:49" ht="16" customHeight="1" x14ac:dyDescent="0.2">
      <c r="A16" s="56"/>
      <c r="B16" s="55"/>
      <c r="C16" s="55"/>
      <c r="D16" s="55"/>
      <c r="E16" s="55"/>
      <c r="F16" s="55"/>
      <c r="G16" s="55"/>
      <c r="H16" s="55"/>
      <c r="I16" s="55"/>
      <c r="J16" s="22"/>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row>
    <row r="17" spans="1:49" ht="16" customHeight="1" x14ac:dyDescent="0.2">
      <c r="A17" s="56"/>
      <c r="B17" s="584" t="s">
        <v>76</v>
      </c>
      <c r="C17" s="55"/>
      <c r="D17" s="55"/>
      <c r="E17" s="55"/>
      <c r="F17" s="55"/>
      <c r="G17" s="55"/>
      <c r="H17" s="55"/>
      <c r="I17" s="55"/>
      <c r="J17" s="22"/>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row>
    <row r="18" spans="1:49" x14ac:dyDescent="0.2">
      <c r="A18" s="56"/>
      <c r="B18" s="55"/>
      <c r="C18" s="55"/>
      <c r="D18" s="55"/>
      <c r="E18" s="55"/>
      <c r="F18" s="55"/>
      <c r="G18" s="55"/>
      <c r="H18" s="55"/>
      <c r="I18" s="55"/>
      <c r="J18" s="22"/>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row>
    <row r="19" spans="1:49" x14ac:dyDescent="0.2">
      <c r="A19" s="56"/>
      <c r="B19" s="584" t="s">
        <v>109</v>
      </c>
      <c r="C19" s="55"/>
      <c r="D19" s="55"/>
      <c r="E19" s="55"/>
      <c r="F19" s="55"/>
      <c r="G19" s="55"/>
      <c r="H19" s="55"/>
      <c r="I19" s="55"/>
      <c r="J19" s="22"/>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row>
    <row r="20" spans="1:49" x14ac:dyDescent="0.2">
      <c r="A20" s="56"/>
      <c r="B20" s="584" t="s">
        <v>130</v>
      </c>
      <c r="C20" s="55"/>
      <c r="D20" s="55"/>
      <c r="E20" s="55"/>
      <c r="F20" s="55"/>
      <c r="G20" s="55"/>
      <c r="H20" s="55"/>
      <c r="I20" s="55"/>
      <c r="J20" s="22"/>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row>
    <row r="21" spans="1:49" ht="16" customHeight="1" x14ac:dyDescent="0.2">
      <c r="A21" s="56"/>
      <c r="B21" s="584" t="s">
        <v>77</v>
      </c>
      <c r="C21" s="55"/>
      <c r="D21" s="55"/>
      <c r="E21" s="55"/>
      <c r="F21" s="55"/>
      <c r="G21" s="55"/>
      <c r="H21" s="55"/>
      <c r="I21" s="55"/>
      <c r="J21" s="22"/>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row>
    <row r="22" spans="1:49" ht="16" customHeight="1" x14ac:dyDescent="0.2">
      <c r="A22" s="56"/>
      <c r="B22" s="55"/>
      <c r="C22" s="59"/>
      <c r="D22" s="59"/>
      <c r="E22" s="59"/>
      <c r="F22" s="55"/>
      <c r="G22" s="55"/>
      <c r="H22" s="55"/>
      <c r="I22" s="55"/>
      <c r="J22" s="22"/>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row>
    <row r="23" spans="1:49" ht="16" customHeight="1" x14ac:dyDescent="0.2">
      <c r="A23" s="68"/>
      <c r="B23" s="584" t="s">
        <v>127</v>
      </c>
      <c r="C23" s="59"/>
      <c r="D23" s="59"/>
      <c r="E23" s="59"/>
      <c r="F23" s="55"/>
      <c r="G23" s="55"/>
      <c r="H23" s="55"/>
      <c r="I23" s="55"/>
      <c r="J23" s="22"/>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row>
    <row r="24" spans="1:49" ht="16" customHeight="1" x14ac:dyDescent="0.2">
      <c r="A24" s="68"/>
      <c r="B24" s="55"/>
      <c r="C24" s="59"/>
      <c r="D24" s="59"/>
      <c r="E24" s="59"/>
      <c r="F24" s="55"/>
      <c r="G24" s="55"/>
      <c r="H24" s="55"/>
      <c r="I24" s="55"/>
      <c r="J24" s="22"/>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row>
    <row r="25" spans="1:49" ht="16" customHeight="1" x14ac:dyDescent="0.2">
      <c r="A25" s="68" t="s">
        <v>80</v>
      </c>
      <c r="B25" s="584" t="s">
        <v>541</v>
      </c>
      <c r="C25" s="55"/>
      <c r="D25" s="55"/>
      <c r="E25" s="55"/>
      <c r="F25" s="55"/>
      <c r="G25" s="55"/>
      <c r="H25" s="55"/>
      <c r="I25" s="55"/>
      <c r="J25" s="22"/>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row>
    <row r="26" spans="1:49" ht="16" customHeight="1" x14ac:dyDescent="0.2">
      <c r="A26" s="68"/>
      <c r="B26" s="55"/>
      <c r="C26" s="55"/>
      <c r="D26" s="55"/>
      <c r="E26" s="55"/>
      <c r="F26" s="55"/>
      <c r="G26" s="55"/>
      <c r="H26" s="55"/>
      <c r="I26" s="55"/>
      <c r="J26" s="22"/>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row>
    <row r="27" spans="1:49" ht="16" customHeight="1" x14ac:dyDescent="0.2">
      <c r="A27" s="68" t="s">
        <v>81</v>
      </c>
      <c r="B27" s="584" t="s">
        <v>542</v>
      </c>
      <c r="C27" s="55"/>
      <c r="D27" s="55"/>
      <c r="E27" s="55"/>
      <c r="F27" s="55"/>
      <c r="G27" s="55"/>
      <c r="H27" s="55"/>
      <c r="I27" s="55"/>
      <c r="J27" s="22"/>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row>
    <row r="28" spans="1:49" ht="16" customHeight="1" x14ac:dyDescent="0.2">
      <c r="A28" s="68"/>
      <c r="B28" s="55"/>
      <c r="C28" s="55"/>
      <c r="D28" s="55"/>
      <c r="E28" s="55"/>
      <c r="F28" s="55"/>
      <c r="G28" s="55"/>
      <c r="H28" s="55"/>
      <c r="I28" s="55"/>
      <c r="J28" s="22"/>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row>
    <row r="29" spans="1:49" ht="16" customHeight="1" x14ac:dyDescent="0.2">
      <c r="A29" s="68" t="s">
        <v>82</v>
      </c>
      <c r="B29" s="584" t="s">
        <v>543</v>
      </c>
      <c r="C29" s="55"/>
      <c r="D29" s="55"/>
      <c r="E29" s="55"/>
      <c r="F29" s="55"/>
      <c r="G29" s="55"/>
      <c r="H29" s="55"/>
      <c r="I29" s="55"/>
      <c r="J29" s="22"/>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row>
    <row r="30" spans="1:49" ht="16" customHeight="1" x14ac:dyDescent="0.2">
      <c r="A30" s="68"/>
      <c r="B30" s="55"/>
      <c r="C30" s="55"/>
      <c r="D30" s="55"/>
      <c r="E30" s="55"/>
      <c r="F30" s="55"/>
      <c r="G30" s="55"/>
      <c r="H30" s="55"/>
      <c r="I30" s="55"/>
      <c r="J30" s="22"/>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row>
    <row r="31" spans="1:49" ht="16" customHeight="1" x14ac:dyDescent="0.2">
      <c r="A31" s="68" t="s">
        <v>83</v>
      </c>
      <c r="B31" s="584" t="s">
        <v>544</v>
      </c>
      <c r="C31" s="55"/>
      <c r="D31" s="55"/>
      <c r="E31" s="55"/>
      <c r="F31" s="55"/>
      <c r="G31" s="55"/>
      <c r="H31" s="55"/>
      <c r="I31" s="55"/>
      <c r="J31" s="22"/>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row>
    <row r="32" spans="1:49" ht="16" customHeight="1" x14ac:dyDescent="0.2">
      <c r="A32" s="68"/>
      <c r="B32" s="585" t="s">
        <v>78</v>
      </c>
      <c r="C32" s="55"/>
      <c r="D32" s="55"/>
      <c r="E32" s="55"/>
      <c r="F32" s="55"/>
      <c r="G32" s="55"/>
      <c r="H32" s="55"/>
      <c r="I32" s="55"/>
      <c r="J32" s="22"/>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row>
    <row r="33" spans="1:49" ht="16" customHeight="1" x14ac:dyDescent="0.2">
      <c r="A33" s="68"/>
      <c r="B33" s="70" t="s">
        <v>79</v>
      </c>
      <c r="C33" s="55"/>
      <c r="D33" s="55"/>
      <c r="E33" s="55"/>
      <c r="F33" s="55"/>
      <c r="G33" s="55"/>
      <c r="H33" s="55"/>
      <c r="I33" s="55"/>
      <c r="J33" s="22"/>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row>
    <row r="34" spans="1:49" ht="16" customHeight="1" thickBot="1" x14ac:dyDescent="0.25">
      <c r="A34" s="69"/>
      <c r="B34" s="64"/>
      <c r="C34" s="65"/>
      <c r="D34" s="65"/>
      <c r="E34" s="65"/>
      <c r="F34" s="64"/>
      <c r="G34" s="64"/>
      <c r="H34" s="64"/>
      <c r="I34" s="64"/>
      <c r="J34" s="18"/>
      <c r="K34" s="71"/>
      <c r="L34" s="2"/>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row>
    <row r="35" spans="1:49" ht="16" customHeight="1" x14ac:dyDescent="0.2">
      <c r="A35" s="3"/>
      <c r="B35" s="3"/>
      <c r="C35" s="3"/>
      <c r="D35" s="3"/>
      <c r="E35" s="3"/>
      <c r="F35" s="3"/>
      <c r="G35" s="3"/>
      <c r="H35" s="3"/>
      <c r="I35" s="3"/>
      <c r="K35" s="71"/>
      <c r="L35" s="2"/>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row>
    <row r="36" spans="1:49" ht="16" customHeight="1" x14ac:dyDescent="0.25">
      <c r="A36" s="4" t="s">
        <v>9</v>
      </c>
      <c r="B36" s="3"/>
      <c r="C36" s="3"/>
      <c r="D36" s="3"/>
      <c r="E36" s="3"/>
      <c r="F36" s="3"/>
      <c r="G36" s="3"/>
      <c r="H36" s="3"/>
      <c r="I36" s="3"/>
      <c r="K36" s="71"/>
      <c r="L36" s="2"/>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row>
    <row r="37" spans="1:49" ht="16" customHeight="1" x14ac:dyDescent="0.2">
      <c r="A37" s="8" t="s">
        <v>88</v>
      </c>
      <c r="B37" s="7"/>
      <c r="C37" s="7"/>
      <c r="D37" s="7"/>
      <c r="E37" s="7"/>
      <c r="F37" s="7"/>
      <c r="G37" s="7"/>
      <c r="H37" s="7"/>
      <c r="I37" s="7"/>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row>
    <row r="38" spans="1:49" ht="16" customHeight="1" x14ac:dyDescent="0.2">
      <c r="A38" s="6"/>
      <c r="B38" s="632" t="s">
        <v>138</v>
      </c>
      <c r="C38" s="632"/>
      <c r="D38" s="632"/>
      <c r="E38" s="632"/>
      <c r="F38" s="632"/>
      <c r="G38" s="632"/>
      <c r="H38" s="632"/>
      <c r="I38" s="632"/>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row>
    <row r="39" spans="1:49" ht="16" customHeight="1" x14ac:dyDescent="0.2">
      <c r="A39" s="6"/>
      <c r="B39" s="632"/>
      <c r="C39" s="632"/>
      <c r="D39" s="632"/>
      <c r="E39" s="632"/>
      <c r="F39" s="632"/>
      <c r="G39" s="632"/>
      <c r="H39" s="632"/>
      <c r="I39" s="632"/>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row>
    <row r="40" spans="1:49" ht="16" customHeight="1" x14ac:dyDescent="0.2">
      <c r="A40" s="6"/>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row>
    <row r="41" spans="1:49" ht="16" customHeight="1" x14ac:dyDescent="0.2">
      <c r="A41" s="6" t="s">
        <v>8</v>
      </c>
      <c r="B41" s="632" t="s">
        <v>93</v>
      </c>
      <c r="C41" s="632"/>
      <c r="D41" s="632"/>
      <c r="E41" s="632"/>
      <c r="F41" s="632"/>
      <c r="G41" s="632"/>
      <c r="H41" s="632"/>
      <c r="I41" s="632"/>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row>
    <row r="42" spans="1:49" ht="16" customHeight="1" x14ac:dyDescent="0.2">
      <c r="A42" s="6"/>
      <c r="B42" s="632"/>
      <c r="C42" s="632"/>
      <c r="D42" s="632"/>
      <c r="E42" s="632"/>
      <c r="F42" s="632"/>
      <c r="G42" s="632"/>
      <c r="H42" s="632"/>
      <c r="I42" s="632"/>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row>
    <row r="43" spans="1:49" ht="16" customHeight="1" x14ac:dyDescent="0.2">
      <c r="A43" s="6"/>
      <c r="B43" s="632"/>
      <c r="C43" s="632"/>
      <c r="D43" s="632"/>
      <c r="E43" s="632"/>
      <c r="F43" s="632"/>
      <c r="G43" s="632"/>
      <c r="H43" s="632"/>
      <c r="I43" s="632"/>
      <c r="J43" s="71"/>
      <c r="K43" s="71"/>
      <c r="L43" s="2"/>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row>
    <row r="44" spans="1:49" ht="16" customHeight="1" x14ac:dyDescent="0.2">
      <c r="A44" s="6"/>
      <c r="B44" s="54"/>
      <c r="E44" s="54"/>
      <c r="F44" s="54"/>
      <c r="G44" s="54"/>
      <c r="H44" s="54"/>
      <c r="I44" s="54"/>
      <c r="J44" s="71"/>
      <c r="K44" s="71"/>
      <c r="L44" s="2"/>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row>
    <row r="45" spans="1:49" ht="16" customHeight="1" x14ac:dyDescent="0.2">
      <c r="A45" s="6"/>
      <c r="B45" s="54"/>
      <c r="C45" s="54"/>
      <c r="D45" s="54"/>
      <c r="E45" s="54"/>
      <c r="F45" s="54"/>
      <c r="G45" s="54"/>
      <c r="H45" s="54"/>
      <c r="I45" s="54"/>
      <c r="J45" s="71"/>
      <c r="K45" s="71"/>
      <c r="L45" s="2"/>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row>
    <row r="46" spans="1:49" ht="16" customHeight="1" x14ac:dyDescent="0.2">
      <c r="A46" s="6"/>
      <c r="B46" s="54"/>
      <c r="C46" s="54"/>
      <c r="D46" s="54"/>
      <c r="E46" s="54"/>
      <c r="F46" s="54"/>
      <c r="G46" s="54"/>
      <c r="H46" s="54"/>
      <c r="I46" s="54"/>
      <c r="J46" s="71"/>
      <c r="K46" s="71"/>
      <c r="L46" s="2"/>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row>
    <row r="47" spans="1:49" ht="16" customHeight="1" x14ac:dyDescent="0.2">
      <c r="A47" s="6"/>
      <c r="B47" s="83" t="s">
        <v>545</v>
      </c>
      <c r="C47" s="54"/>
      <c r="D47" s="54"/>
      <c r="E47" s="54"/>
      <c r="F47" s="54"/>
      <c r="G47" s="54"/>
      <c r="H47" s="54"/>
      <c r="I47" s="54"/>
      <c r="J47" s="71"/>
      <c r="K47" s="71"/>
      <c r="L47" s="2"/>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row>
    <row r="48" spans="1:49" ht="16" customHeight="1" x14ac:dyDescent="0.2">
      <c r="A48" s="6"/>
      <c r="B48" s="54"/>
      <c r="C48" s="54"/>
      <c r="D48" s="636"/>
      <c r="E48" s="636"/>
      <c r="F48" s="54"/>
      <c r="G48" s="54"/>
      <c r="H48" s="54"/>
      <c r="I48" s="54"/>
      <c r="J48" s="71"/>
      <c r="K48" s="71"/>
      <c r="L48" s="2"/>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row>
    <row r="49" spans="1:49" ht="16" customHeight="1" x14ac:dyDescent="0.2">
      <c r="A49" s="6"/>
      <c r="B49" s="71"/>
      <c r="C49" s="73"/>
      <c r="D49" s="633" t="s">
        <v>106</v>
      </c>
      <c r="E49" s="633"/>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row>
    <row r="50" spans="1:49" ht="17" x14ac:dyDescent="0.2">
      <c r="A50" s="6"/>
      <c r="B50" s="71"/>
      <c r="C50" s="17" t="s">
        <v>69</v>
      </c>
      <c r="D50" s="15" t="s">
        <v>100</v>
      </c>
      <c r="E50" s="75" t="s">
        <v>101</v>
      </c>
      <c r="F50" s="634" t="s">
        <v>102</v>
      </c>
      <c r="G50" s="635"/>
      <c r="H50" s="635"/>
      <c r="I50" s="635"/>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49" ht="16" customHeight="1" x14ac:dyDescent="0.2">
      <c r="A51" s="6"/>
      <c r="B51" s="71"/>
      <c r="C51" s="13" t="s">
        <v>20</v>
      </c>
      <c r="D51" s="586">
        <v>0</v>
      </c>
      <c r="E51" s="587">
        <v>0</v>
      </c>
      <c r="F51" s="81" t="s">
        <v>112</v>
      </c>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row>
    <row r="52" spans="1:49" ht="16" customHeight="1" x14ac:dyDescent="0.2">
      <c r="A52" s="6"/>
      <c r="B52" s="71"/>
      <c r="C52" s="11" t="s">
        <v>23</v>
      </c>
      <c r="D52" s="586">
        <f>F9</f>
        <v>3</v>
      </c>
      <c r="E52" s="587">
        <f>-F9*(3/12)</f>
        <v>-0.75</v>
      </c>
      <c r="F52" s="81" t="s">
        <v>114</v>
      </c>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row>
    <row r="53" spans="1:49" ht="16" customHeight="1" x14ac:dyDescent="0.2">
      <c r="A53" s="6"/>
      <c r="B53" s="71"/>
      <c r="C53" s="11" t="s">
        <v>72</v>
      </c>
      <c r="D53" s="586">
        <f>F10</f>
        <v>2</v>
      </c>
      <c r="E53" s="587">
        <f>-1*(3/12)</f>
        <v>-0.25</v>
      </c>
      <c r="F53" s="81" t="s">
        <v>111</v>
      </c>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row>
    <row r="54" spans="1:49" ht="16" customHeight="1" x14ac:dyDescent="0.2">
      <c r="A54" s="6"/>
      <c r="B54" s="71"/>
      <c r="C54" s="11" t="s">
        <v>73</v>
      </c>
      <c r="D54" s="586">
        <f>F11*0.5</f>
        <v>1</v>
      </c>
      <c r="E54" s="587">
        <v>0</v>
      </c>
      <c r="F54" s="71" t="s">
        <v>103</v>
      </c>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row>
    <row r="55" spans="1:49" ht="16" customHeight="1" x14ac:dyDescent="0.2">
      <c r="A55" s="6"/>
      <c r="B55" s="71"/>
      <c r="C55" s="11" t="s">
        <v>74</v>
      </c>
      <c r="D55" s="586">
        <v>0</v>
      </c>
      <c r="E55" s="587">
        <f>F12*0.5-F12*0.5*(3/6)</f>
        <v>0.25</v>
      </c>
      <c r="F55" s="71" t="s">
        <v>104</v>
      </c>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row>
    <row r="56" spans="1:49" ht="16" customHeight="1" x14ac:dyDescent="0.2">
      <c r="A56" s="6"/>
      <c r="B56" s="71"/>
      <c r="C56" s="78" t="s">
        <v>75</v>
      </c>
      <c r="D56" s="588">
        <v>0</v>
      </c>
      <c r="E56" s="589">
        <f>F13</f>
        <v>2</v>
      </c>
      <c r="F56" s="79" t="s">
        <v>105</v>
      </c>
      <c r="G56" s="79"/>
      <c r="H56" s="79"/>
      <c r="I56" s="79"/>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row>
    <row r="57" spans="1:49" ht="16" customHeight="1" x14ac:dyDescent="0.2">
      <c r="A57" s="6"/>
      <c r="B57" s="71"/>
      <c r="C57" s="13" t="s">
        <v>12</v>
      </c>
      <c r="D57" s="586">
        <f>SUM(D51:D56)</f>
        <v>6</v>
      </c>
      <c r="E57" s="590">
        <f>SUM(E51:E56)</f>
        <v>1.25</v>
      </c>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row>
    <row r="58" spans="1:49" ht="16" customHeight="1" x14ac:dyDescent="0.2">
      <c r="A58" s="6"/>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row>
    <row r="59" spans="1:49" ht="16" customHeight="1" x14ac:dyDescent="0.2">
      <c r="A59" s="6"/>
      <c r="B59" s="632" t="s">
        <v>113</v>
      </c>
      <c r="C59" s="632"/>
      <c r="D59" s="632"/>
      <c r="E59" s="632"/>
      <c r="F59" s="632"/>
      <c r="G59" s="632"/>
      <c r="H59" s="632"/>
      <c r="I59" s="632"/>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row>
    <row r="60" spans="1:49" ht="16" customHeight="1" x14ac:dyDescent="0.2">
      <c r="A60" s="6"/>
      <c r="B60" s="632"/>
      <c r="C60" s="632"/>
      <c r="D60" s="632"/>
      <c r="E60" s="632"/>
      <c r="F60" s="632"/>
      <c r="G60" s="632"/>
      <c r="H60" s="632"/>
      <c r="I60" s="632"/>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row>
    <row r="61" spans="1:49" ht="16" customHeight="1" x14ac:dyDescent="0.2">
      <c r="A61" s="6"/>
      <c r="B61" s="632"/>
      <c r="C61" s="632"/>
      <c r="D61" s="632"/>
      <c r="E61" s="632"/>
      <c r="F61" s="632"/>
      <c r="G61" s="632"/>
      <c r="H61" s="632"/>
      <c r="I61" s="632"/>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row>
    <row r="62" spans="1:49" ht="16" customHeight="1" x14ac:dyDescent="0.2">
      <c r="A62" s="6"/>
      <c r="B62" s="71"/>
      <c r="C62" s="71"/>
      <c r="D62" s="71"/>
      <c r="E62" s="71"/>
      <c r="F62" s="71"/>
      <c r="G62" s="71"/>
      <c r="H62" s="71"/>
      <c r="I62" s="71"/>
      <c r="J62" s="71"/>
      <c r="K62" s="71"/>
      <c r="L62" s="2"/>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row>
    <row r="63" spans="1:49" ht="16" customHeight="1" x14ac:dyDescent="0.2">
      <c r="A63" s="6" t="s">
        <v>7</v>
      </c>
      <c r="B63" s="632" t="s">
        <v>92</v>
      </c>
      <c r="C63" s="632"/>
      <c r="D63" s="632"/>
      <c r="E63" s="632"/>
      <c r="F63" s="632"/>
      <c r="G63" s="632"/>
      <c r="H63" s="632"/>
      <c r="I63" s="632"/>
      <c r="K63" s="71"/>
      <c r="L63" s="2"/>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row>
    <row r="64" spans="1:49" ht="16" customHeight="1" x14ac:dyDescent="0.2">
      <c r="A64" s="6"/>
      <c r="B64" s="632"/>
      <c r="C64" s="632"/>
      <c r="D64" s="632"/>
      <c r="E64" s="632"/>
      <c r="F64" s="632"/>
      <c r="G64" s="632"/>
      <c r="H64" s="632"/>
      <c r="I64" s="632"/>
      <c r="J64" s="71"/>
      <c r="K64" s="71"/>
      <c r="L64" s="2"/>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row>
    <row r="65" spans="1:49" ht="16" customHeight="1" x14ac:dyDescent="0.2">
      <c r="A65" s="6"/>
      <c r="B65" s="632"/>
      <c r="C65" s="632"/>
      <c r="D65" s="632"/>
      <c r="E65" s="632"/>
      <c r="F65" s="632"/>
      <c r="G65" s="632"/>
      <c r="H65" s="632"/>
      <c r="I65" s="632"/>
      <c r="J65" s="71"/>
      <c r="K65" s="71"/>
      <c r="L65" s="2"/>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row>
    <row r="66" spans="1:49" ht="16" customHeight="1" x14ac:dyDescent="0.2">
      <c r="A66" s="6"/>
      <c r="B66" s="71"/>
      <c r="C66" s="71"/>
      <c r="D66" s="71"/>
      <c r="E66" s="71"/>
      <c r="F66" s="71"/>
      <c r="G66" s="71"/>
      <c r="H66" s="71"/>
      <c r="I66" s="71"/>
      <c r="J66" s="71"/>
      <c r="K66" s="71"/>
      <c r="L66" s="2"/>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row>
    <row r="67" spans="1:49" ht="16" customHeight="1" x14ac:dyDescent="0.2">
      <c r="A67" s="6"/>
      <c r="B67" s="71"/>
      <c r="C67" s="73"/>
      <c r="D67" s="633" t="s">
        <v>106</v>
      </c>
      <c r="E67" s="633"/>
      <c r="F67" s="71"/>
      <c r="G67" s="71"/>
      <c r="H67" s="71"/>
      <c r="I67" s="71"/>
      <c r="J67" s="71"/>
      <c r="K67" s="71"/>
      <c r="L67" s="2"/>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row>
    <row r="68" spans="1:49" ht="16" customHeight="1" x14ac:dyDescent="0.2">
      <c r="A68" s="6"/>
      <c r="B68" s="71"/>
      <c r="C68" s="17" t="s">
        <v>69</v>
      </c>
      <c r="D68" s="15" t="s">
        <v>107</v>
      </c>
      <c r="E68" s="75" t="s">
        <v>108</v>
      </c>
      <c r="F68" s="634" t="s">
        <v>102</v>
      </c>
      <c r="G68" s="635"/>
      <c r="H68" s="635"/>
      <c r="I68" s="635"/>
      <c r="J68" s="71"/>
      <c r="K68" s="71"/>
      <c r="L68" s="2"/>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row>
    <row r="69" spans="1:49" ht="16" customHeight="1" x14ac:dyDescent="0.2">
      <c r="A69" s="6"/>
      <c r="B69" s="71"/>
      <c r="C69" s="85" t="s">
        <v>20</v>
      </c>
      <c r="D69" s="591">
        <v>0</v>
      </c>
      <c r="E69" s="592">
        <v>0</v>
      </c>
      <c r="F69" s="86"/>
      <c r="G69" s="87"/>
      <c r="H69" s="87"/>
      <c r="I69" s="87"/>
      <c r="J69" s="71"/>
      <c r="K69" s="71"/>
      <c r="L69" s="2"/>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ht="16" customHeight="1" x14ac:dyDescent="0.2">
      <c r="A70" s="6"/>
      <c r="B70" s="71"/>
      <c r="C70" s="11" t="s">
        <v>23</v>
      </c>
      <c r="D70" s="586">
        <f>F9-F9*(3/12)</f>
        <v>2.25</v>
      </c>
      <c r="E70" s="587">
        <v>0</v>
      </c>
      <c r="F70" s="81" t="s">
        <v>115</v>
      </c>
      <c r="G70" s="71"/>
      <c r="H70" s="71"/>
      <c r="I70" s="71"/>
      <c r="J70" s="71"/>
      <c r="K70" s="71"/>
      <c r="L70" s="2"/>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ht="16" customHeight="1" x14ac:dyDescent="0.2">
      <c r="A71" s="6"/>
      <c r="B71" s="71"/>
      <c r="C71" s="11" t="s">
        <v>72</v>
      </c>
      <c r="D71" s="586">
        <f>F10-1*(3/12)</f>
        <v>1.75</v>
      </c>
      <c r="E71" s="587">
        <v>0</v>
      </c>
      <c r="F71" s="599" t="s">
        <v>546</v>
      </c>
      <c r="G71" s="71"/>
      <c r="H71" s="71"/>
      <c r="I71" s="71"/>
      <c r="J71" s="71"/>
      <c r="K71" s="71"/>
      <c r="L71" s="2"/>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row>
    <row r="72" spans="1:49" ht="16" customHeight="1" x14ac:dyDescent="0.2">
      <c r="A72" s="6"/>
      <c r="B72" s="71"/>
      <c r="C72" s="88" t="s">
        <v>73</v>
      </c>
      <c r="D72" s="593">
        <f>F11*0.5</f>
        <v>1</v>
      </c>
      <c r="E72" s="594">
        <v>0</v>
      </c>
      <c r="F72" s="89"/>
      <c r="G72" s="90"/>
      <c r="H72" s="90"/>
      <c r="I72" s="90"/>
      <c r="J72" s="71"/>
      <c r="K72" s="71"/>
      <c r="L72" s="2"/>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row>
    <row r="73" spans="1:49" ht="16" customHeight="1" x14ac:dyDescent="0.2">
      <c r="A73" s="6"/>
      <c r="B73" s="71"/>
      <c r="C73" s="11" t="s">
        <v>74</v>
      </c>
      <c r="D73" s="586">
        <v>0</v>
      </c>
      <c r="E73" s="587">
        <f>F12*0.5-F12*0.5*(3/6)</f>
        <v>0.25</v>
      </c>
      <c r="F73" s="76"/>
      <c r="G73" s="71"/>
      <c r="H73" s="71"/>
      <c r="I73" s="71"/>
      <c r="J73" s="71"/>
      <c r="K73" s="71"/>
      <c r="L73" s="2"/>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row>
    <row r="74" spans="1:49" ht="16" customHeight="1" x14ac:dyDescent="0.2">
      <c r="A74" s="6"/>
      <c r="B74" s="71"/>
      <c r="C74" s="78" t="s">
        <v>75</v>
      </c>
      <c r="D74" s="588">
        <v>0</v>
      </c>
      <c r="E74" s="589">
        <f>F13</f>
        <v>2</v>
      </c>
      <c r="F74" s="80"/>
      <c r="G74" s="79"/>
      <c r="H74" s="79"/>
      <c r="I74" s="79"/>
      <c r="J74" s="71"/>
      <c r="K74" s="71"/>
      <c r="L74" s="2"/>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row>
    <row r="75" spans="1:49" ht="16" customHeight="1" x14ac:dyDescent="0.2">
      <c r="A75" s="6"/>
      <c r="B75" s="71"/>
      <c r="C75" s="11" t="s">
        <v>12</v>
      </c>
      <c r="D75" s="586">
        <f>SUM(D69:D74)</f>
        <v>5</v>
      </c>
      <c r="E75" s="587">
        <f>SUM(E69:E74)</f>
        <v>2.25</v>
      </c>
      <c r="F75" s="71"/>
      <c r="G75" s="71"/>
      <c r="H75" s="71"/>
      <c r="I75" s="71"/>
      <c r="J75" s="71"/>
      <c r="K75" s="71"/>
      <c r="L75" s="2"/>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row>
    <row r="76" spans="1:49" ht="16" customHeight="1" x14ac:dyDescent="0.2">
      <c r="A76" s="6"/>
      <c r="B76" s="71"/>
      <c r="C76" s="71"/>
      <c r="D76" s="71"/>
      <c r="E76" s="71"/>
      <c r="F76" s="71"/>
      <c r="G76" s="71"/>
      <c r="H76" s="71"/>
      <c r="I76" s="71"/>
      <c r="J76" s="71"/>
      <c r="K76" s="71"/>
      <c r="L76" s="2"/>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row>
    <row r="77" spans="1:49" ht="16" customHeight="1" x14ac:dyDescent="0.2">
      <c r="A77" s="8" t="s">
        <v>89</v>
      </c>
      <c r="B77" s="71"/>
      <c r="C77" s="71"/>
      <c r="D77" s="71"/>
      <c r="E77" s="71"/>
      <c r="F77" s="71"/>
      <c r="G77" s="71"/>
      <c r="H77" s="71"/>
      <c r="I77" s="71"/>
      <c r="J77" s="71"/>
      <c r="K77" s="71"/>
      <c r="L77" s="2"/>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row>
    <row r="78" spans="1:49" ht="16" customHeight="1" x14ac:dyDescent="0.2">
      <c r="A78" s="8"/>
      <c r="B78" s="632" t="s">
        <v>137</v>
      </c>
      <c r="C78" s="632"/>
      <c r="D78" s="632"/>
      <c r="E78" s="632"/>
      <c r="F78" s="632"/>
      <c r="G78" s="632"/>
      <c r="H78" s="632"/>
      <c r="I78" s="632"/>
      <c r="J78" s="71"/>
      <c r="K78" s="71"/>
      <c r="L78" s="2"/>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row>
    <row r="79" spans="1:49" ht="16" customHeight="1" x14ac:dyDescent="0.2">
      <c r="A79" s="8"/>
      <c r="B79" s="632"/>
      <c r="C79" s="632"/>
      <c r="D79" s="632"/>
      <c r="E79" s="632"/>
      <c r="F79" s="632"/>
      <c r="G79" s="632"/>
      <c r="H79" s="632"/>
      <c r="I79" s="632"/>
      <c r="J79" s="71"/>
      <c r="K79" s="71"/>
      <c r="L79" s="2"/>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row>
    <row r="80" spans="1:49" ht="16" customHeight="1" x14ac:dyDescent="0.2">
      <c r="A80" s="8"/>
      <c r="B80" s="71"/>
      <c r="C80" s="71"/>
      <c r="D80" s="71"/>
      <c r="E80" s="71"/>
      <c r="F80" s="71"/>
      <c r="G80" s="71"/>
      <c r="H80" s="71"/>
      <c r="I80" s="71"/>
      <c r="J80" s="71"/>
      <c r="K80" s="71"/>
      <c r="L80" s="2"/>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row>
    <row r="81" spans="1:49" ht="16" customHeight="1" x14ac:dyDescent="0.2">
      <c r="A81" s="6" t="s">
        <v>6</v>
      </c>
      <c r="B81" s="632" t="s">
        <v>94</v>
      </c>
      <c r="C81" s="632"/>
      <c r="D81" s="632"/>
      <c r="E81" s="632"/>
      <c r="F81" s="632"/>
      <c r="G81" s="632"/>
      <c r="H81" s="632"/>
      <c r="I81" s="632"/>
      <c r="J81" s="71"/>
      <c r="K81" s="71"/>
      <c r="L81" s="2"/>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row>
    <row r="82" spans="1:49" ht="16" customHeight="1" x14ac:dyDescent="0.2">
      <c r="A82" s="6"/>
      <c r="B82" s="632"/>
      <c r="C82" s="632"/>
      <c r="D82" s="632"/>
      <c r="E82" s="632"/>
      <c r="F82" s="632"/>
      <c r="G82" s="632"/>
      <c r="H82" s="632"/>
      <c r="I82" s="632"/>
      <c r="J82" s="71"/>
      <c r="K82" s="71"/>
      <c r="L82" s="2"/>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row>
    <row r="83" spans="1:49" ht="16" customHeight="1" x14ac:dyDescent="0.2">
      <c r="A83" s="6"/>
      <c r="B83" s="632"/>
      <c r="C83" s="632"/>
      <c r="D83" s="632"/>
      <c r="E83" s="632"/>
      <c r="F83" s="632"/>
      <c r="G83" s="632"/>
      <c r="H83" s="632"/>
      <c r="I83" s="632"/>
      <c r="J83" s="71"/>
      <c r="K83" s="71"/>
      <c r="L83" s="2"/>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row>
    <row r="84" spans="1:49" ht="16" customHeight="1" x14ac:dyDescent="0.2">
      <c r="A84" s="6"/>
      <c r="B84" s="71"/>
      <c r="C84" s="71"/>
      <c r="D84" s="71"/>
      <c r="E84" s="71"/>
      <c r="F84" s="71"/>
      <c r="G84" s="71"/>
      <c r="H84" s="71"/>
      <c r="I84" s="71"/>
      <c r="J84" s="71"/>
      <c r="K84" s="71"/>
      <c r="L84" s="2"/>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row>
    <row r="85" spans="1:49" ht="16" customHeight="1" x14ac:dyDescent="0.2">
      <c r="A85" s="6"/>
      <c r="B85" s="71"/>
      <c r="C85" s="71"/>
      <c r="D85" s="71"/>
      <c r="E85" s="71"/>
      <c r="F85" s="71"/>
      <c r="G85" s="71"/>
      <c r="H85" s="71"/>
      <c r="I85" s="71"/>
      <c r="J85" s="71"/>
      <c r="K85" s="71"/>
      <c r="L85" s="2"/>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row>
    <row r="86" spans="1:49" ht="16" customHeight="1" x14ac:dyDescent="0.2">
      <c r="A86" s="6"/>
      <c r="B86" s="71"/>
      <c r="C86" s="71"/>
      <c r="D86" s="71"/>
      <c r="E86" s="71"/>
      <c r="F86" s="71"/>
      <c r="G86" s="71"/>
      <c r="H86" s="71"/>
      <c r="I86" s="71"/>
      <c r="J86" s="71"/>
      <c r="K86" s="71"/>
      <c r="L86" s="2"/>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row>
    <row r="87" spans="1:49" ht="16" customHeight="1" x14ac:dyDescent="0.2">
      <c r="A87" s="6"/>
      <c r="B87" s="71"/>
      <c r="C87" s="73"/>
      <c r="D87" s="637" t="s">
        <v>116</v>
      </c>
      <c r="E87" s="637"/>
      <c r="F87" s="71"/>
      <c r="G87" s="71"/>
      <c r="H87" s="71"/>
      <c r="I87" s="71"/>
      <c r="J87" s="71"/>
      <c r="K87" s="71"/>
      <c r="L87" s="2"/>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row>
    <row r="88" spans="1:49" ht="16" customHeight="1" x14ac:dyDescent="0.2">
      <c r="A88" s="6"/>
      <c r="B88" s="71"/>
      <c r="C88" s="17" t="s">
        <v>69</v>
      </c>
      <c r="D88" s="15" t="s">
        <v>100</v>
      </c>
      <c r="E88" s="75" t="s">
        <v>101</v>
      </c>
      <c r="F88" s="634" t="s">
        <v>102</v>
      </c>
      <c r="G88" s="635"/>
      <c r="H88" s="635"/>
      <c r="I88" s="635"/>
      <c r="J88" s="71"/>
      <c r="K88" s="71"/>
      <c r="L88" s="2"/>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row>
    <row r="89" spans="1:49" ht="16" customHeight="1" x14ac:dyDescent="0.2">
      <c r="A89" s="6"/>
      <c r="B89" s="71"/>
      <c r="C89" s="13" t="s">
        <v>20</v>
      </c>
      <c r="D89" s="586">
        <f>F8*(3/12)</f>
        <v>0.25</v>
      </c>
      <c r="E89" s="587">
        <v>0</v>
      </c>
      <c r="F89" s="81" t="s">
        <v>122</v>
      </c>
      <c r="G89" s="71"/>
      <c r="H89" s="71"/>
      <c r="I89" s="71"/>
      <c r="J89" s="71"/>
      <c r="K89" s="71"/>
      <c r="L89" s="2"/>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row>
    <row r="90" spans="1:49" ht="16" customHeight="1" x14ac:dyDescent="0.2">
      <c r="A90" s="6"/>
      <c r="B90" s="71"/>
      <c r="C90" s="11" t="s">
        <v>23</v>
      </c>
      <c r="D90" s="586">
        <f>F9*9/12</f>
        <v>2.25</v>
      </c>
      <c r="E90" s="587">
        <v>0</v>
      </c>
      <c r="F90" s="81" t="s">
        <v>118</v>
      </c>
      <c r="G90" s="71"/>
      <c r="H90" s="71"/>
      <c r="I90" s="71"/>
      <c r="J90" s="71"/>
      <c r="K90" s="71"/>
      <c r="L90" s="2"/>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row>
    <row r="91" spans="1:49" ht="16" customHeight="1" x14ac:dyDescent="0.2">
      <c r="A91" s="6"/>
      <c r="B91" s="71"/>
      <c r="C91" s="11" t="s">
        <v>72</v>
      </c>
      <c r="D91" s="586">
        <f>F10*6/12</f>
        <v>1</v>
      </c>
      <c r="E91" s="587">
        <f>F10*6/12-1*3/12</f>
        <v>0.75</v>
      </c>
      <c r="F91" s="81" t="s">
        <v>111</v>
      </c>
      <c r="G91" s="71"/>
      <c r="H91" s="71"/>
      <c r="I91" s="71"/>
      <c r="J91" s="71"/>
      <c r="K91" s="71"/>
      <c r="L91" s="2"/>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row>
    <row r="92" spans="1:49" ht="16" customHeight="1" x14ac:dyDescent="0.2">
      <c r="A92" s="6"/>
      <c r="B92" s="71"/>
      <c r="C92" s="11" t="s">
        <v>73</v>
      </c>
      <c r="D92" s="586">
        <f>F11*5/12</f>
        <v>0.83333333333333337</v>
      </c>
      <c r="E92" s="587">
        <f>F11*1/12</f>
        <v>0.16666666666666666</v>
      </c>
      <c r="F92" s="81" t="s">
        <v>119</v>
      </c>
      <c r="G92" s="71"/>
      <c r="H92" s="71"/>
      <c r="I92" s="71"/>
      <c r="J92" s="71"/>
      <c r="K92" s="71"/>
      <c r="L92" s="2"/>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row>
    <row r="93" spans="1:49" ht="16" customHeight="1" x14ac:dyDescent="0.2">
      <c r="A93" s="6"/>
      <c r="B93" s="71"/>
      <c r="C93" s="11" t="s">
        <v>74</v>
      </c>
      <c r="D93" s="586">
        <v>0</v>
      </c>
      <c r="E93" s="587">
        <f>F12*3/12</f>
        <v>0.25</v>
      </c>
      <c r="F93" s="81" t="s">
        <v>120</v>
      </c>
      <c r="G93" s="71"/>
      <c r="H93" s="71"/>
      <c r="I93" s="71"/>
      <c r="J93" s="71"/>
      <c r="K93" s="71"/>
      <c r="L93" s="2"/>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row>
    <row r="94" spans="1:49" ht="16" customHeight="1" x14ac:dyDescent="0.2">
      <c r="B94" s="71"/>
      <c r="C94" s="78" t="s">
        <v>75</v>
      </c>
      <c r="D94" s="588">
        <v>0</v>
      </c>
      <c r="E94" s="589">
        <f>F13*9/12</f>
        <v>1.5</v>
      </c>
      <c r="F94" s="84" t="s">
        <v>121</v>
      </c>
      <c r="G94" s="79"/>
      <c r="H94" s="79"/>
      <c r="I94" s="79"/>
      <c r="J94" s="71"/>
      <c r="K94" s="71"/>
      <c r="L94" s="2"/>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row>
    <row r="95" spans="1:49" ht="16" customHeight="1" x14ac:dyDescent="0.2">
      <c r="A95" s="6"/>
      <c r="B95" s="71"/>
      <c r="C95" s="11" t="s">
        <v>12</v>
      </c>
      <c r="D95" s="586">
        <f>SUM(D89:D94)</f>
        <v>4.333333333333333</v>
      </c>
      <c r="E95" s="587">
        <f>SUM(E89:E94)</f>
        <v>2.6666666666666665</v>
      </c>
      <c r="F95" s="71"/>
      <c r="G95" s="71"/>
      <c r="H95" s="71"/>
      <c r="I95" s="71"/>
      <c r="J95" s="71"/>
      <c r="K95" s="71"/>
      <c r="L95" s="2"/>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row>
    <row r="96" spans="1:49" ht="16" customHeight="1" x14ac:dyDescent="0.2">
      <c r="A96" s="6"/>
      <c r="B96" s="71"/>
      <c r="C96" s="77"/>
      <c r="D96" s="9"/>
      <c r="E96" s="9"/>
      <c r="F96" s="71"/>
      <c r="G96" s="71"/>
      <c r="H96" s="71"/>
      <c r="I96" s="71"/>
      <c r="J96" s="71"/>
      <c r="K96" s="71"/>
      <c r="L96" s="2"/>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row>
    <row r="97" spans="1:49" ht="16" customHeight="1" x14ac:dyDescent="0.2">
      <c r="A97" s="6" t="s">
        <v>5</v>
      </c>
      <c r="B97" s="632" t="s">
        <v>224</v>
      </c>
      <c r="C97" s="632"/>
      <c r="D97" s="632"/>
      <c r="E97" s="632"/>
      <c r="F97" s="632"/>
      <c r="G97" s="632"/>
      <c r="H97" s="632"/>
      <c r="I97" s="632"/>
      <c r="J97" s="71"/>
      <c r="K97" s="71"/>
      <c r="L97" s="2"/>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row>
    <row r="98" spans="1:49" ht="16" customHeight="1" x14ac:dyDescent="0.2">
      <c r="A98" s="6"/>
      <c r="B98" s="632"/>
      <c r="C98" s="632"/>
      <c r="D98" s="632"/>
      <c r="E98" s="632"/>
      <c r="F98" s="632"/>
      <c r="G98" s="632"/>
      <c r="H98" s="632"/>
      <c r="I98" s="632"/>
      <c r="J98" s="71"/>
      <c r="K98" s="71"/>
      <c r="L98" s="2"/>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row>
    <row r="99" spans="1:49" ht="16" customHeight="1" x14ac:dyDescent="0.2">
      <c r="A99" s="6"/>
      <c r="B99" s="71"/>
      <c r="C99" s="71"/>
      <c r="D99" s="71"/>
      <c r="E99" s="71"/>
      <c r="F99" s="71"/>
      <c r="G99" s="71"/>
      <c r="H99" s="71"/>
      <c r="I99" s="71"/>
      <c r="J99" s="71"/>
      <c r="K99" s="71"/>
      <c r="L99" s="2"/>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row>
    <row r="100" spans="1:49" ht="16" customHeight="1" x14ac:dyDescent="0.2">
      <c r="A100" s="6"/>
      <c r="B100" s="71"/>
      <c r="C100" s="71"/>
      <c r="D100" s="71"/>
      <c r="E100" s="71"/>
      <c r="F100" s="71"/>
      <c r="G100" s="71"/>
      <c r="H100" s="71"/>
      <c r="I100" s="71"/>
      <c r="J100" s="71"/>
      <c r="K100" s="71"/>
      <c r="L100" s="2"/>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row>
    <row r="101" spans="1:49" ht="16" customHeight="1" x14ac:dyDescent="0.2">
      <c r="A101" s="6"/>
      <c r="B101" s="71"/>
      <c r="C101" s="71"/>
      <c r="D101" s="71"/>
      <c r="E101" s="71"/>
      <c r="F101" s="71"/>
      <c r="G101" s="71"/>
      <c r="H101" s="71"/>
      <c r="I101" s="71"/>
      <c r="J101" s="71"/>
      <c r="K101" s="71"/>
      <c r="L101" s="2"/>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row>
    <row r="102" spans="1:49" ht="16" customHeight="1" x14ac:dyDescent="0.2">
      <c r="A102" s="6"/>
      <c r="B102" s="71"/>
      <c r="C102" s="73"/>
      <c r="D102" s="637" t="s">
        <v>116</v>
      </c>
      <c r="E102" s="637"/>
      <c r="F102" s="71"/>
      <c r="G102" s="71"/>
      <c r="H102" s="71"/>
      <c r="I102" s="71"/>
      <c r="J102" s="71"/>
      <c r="K102" s="71"/>
      <c r="L102" s="2"/>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row>
    <row r="103" spans="1:49" ht="16" customHeight="1" x14ac:dyDescent="0.2">
      <c r="A103" s="6"/>
      <c r="B103" s="71"/>
      <c r="C103" s="17" t="s">
        <v>69</v>
      </c>
      <c r="D103" s="15" t="s">
        <v>107</v>
      </c>
      <c r="E103" s="75" t="s">
        <v>108</v>
      </c>
      <c r="F103" s="634" t="s">
        <v>102</v>
      </c>
      <c r="G103" s="635"/>
      <c r="H103" s="635"/>
      <c r="I103" s="635"/>
      <c r="J103" s="71"/>
      <c r="K103" s="71"/>
      <c r="L103" s="2"/>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row>
    <row r="104" spans="1:49" ht="16" customHeight="1" x14ac:dyDescent="0.2">
      <c r="A104" s="6"/>
      <c r="B104" s="71"/>
      <c r="C104" s="85" t="s">
        <v>20</v>
      </c>
      <c r="D104" s="591">
        <v>0</v>
      </c>
      <c r="E104" s="592">
        <v>0</v>
      </c>
      <c r="F104" s="86" t="s">
        <v>123</v>
      </c>
      <c r="G104" s="87"/>
      <c r="H104" s="87"/>
      <c r="I104" s="87"/>
      <c r="J104" s="71"/>
      <c r="K104" s="71"/>
      <c r="L104" s="2"/>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row>
    <row r="105" spans="1:49" ht="16" customHeight="1" x14ac:dyDescent="0.2">
      <c r="A105" s="6"/>
      <c r="B105" s="71"/>
      <c r="C105" s="11" t="s">
        <v>23</v>
      </c>
      <c r="D105" s="586">
        <f>F9*9/12</f>
        <v>2.25</v>
      </c>
      <c r="E105" s="587">
        <v>0</v>
      </c>
      <c r="F105" s="81" t="s">
        <v>124</v>
      </c>
      <c r="G105" s="71"/>
      <c r="H105" s="71"/>
      <c r="I105" s="71"/>
      <c r="J105" s="71"/>
      <c r="K105" s="71"/>
      <c r="L105" s="2"/>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row>
    <row r="106" spans="1:49" ht="16" customHeight="1" x14ac:dyDescent="0.2">
      <c r="A106" s="6"/>
      <c r="B106" s="71"/>
      <c r="C106" s="11" t="s">
        <v>72</v>
      </c>
      <c r="D106" s="586">
        <f>F10*12/12-1*3/12</f>
        <v>1.75</v>
      </c>
      <c r="E106" s="587">
        <v>0</v>
      </c>
      <c r="F106" s="76"/>
      <c r="G106" s="71"/>
      <c r="H106" s="71"/>
      <c r="I106" s="71"/>
      <c r="J106" s="71"/>
      <c r="K106" s="71"/>
      <c r="L106" s="2"/>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row>
    <row r="107" spans="1:49" ht="16" customHeight="1" x14ac:dyDescent="0.2">
      <c r="A107" s="6"/>
      <c r="B107" s="71"/>
      <c r="C107" s="88" t="s">
        <v>73</v>
      </c>
      <c r="D107" s="593">
        <f>F11*6/12</f>
        <v>1</v>
      </c>
      <c r="E107" s="594">
        <v>0</v>
      </c>
      <c r="F107" s="89"/>
      <c r="G107" s="90"/>
      <c r="H107" s="90"/>
      <c r="I107" s="90"/>
      <c r="J107" s="71"/>
      <c r="K107" s="71"/>
      <c r="L107" s="2"/>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row>
    <row r="108" spans="1:49" ht="16" customHeight="1" x14ac:dyDescent="0.2">
      <c r="A108" s="6"/>
      <c r="B108" s="71"/>
      <c r="C108" s="11" t="s">
        <v>74</v>
      </c>
      <c r="D108" s="586">
        <v>0</v>
      </c>
      <c r="E108" s="587">
        <f>F12*3/12</f>
        <v>0.25</v>
      </c>
      <c r="F108" s="81" t="s">
        <v>125</v>
      </c>
      <c r="G108" s="71"/>
      <c r="H108" s="71"/>
      <c r="I108" s="71"/>
      <c r="J108" s="71"/>
      <c r="K108" s="71"/>
      <c r="L108" s="2"/>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row>
    <row r="109" spans="1:49" ht="16" customHeight="1" x14ac:dyDescent="0.2">
      <c r="A109" s="6"/>
      <c r="B109" s="71"/>
      <c r="C109" s="78" t="s">
        <v>75</v>
      </c>
      <c r="D109" s="588">
        <v>0</v>
      </c>
      <c r="E109" s="589">
        <f>F13*9/12</f>
        <v>1.5</v>
      </c>
      <c r="F109" s="196" t="s">
        <v>225</v>
      </c>
      <c r="G109" s="79"/>
      <c r="H109" s="79"/>
      <c r="I109" s="79"/>
      <c r="J109" s="71"/>
      <c r="K109" s="71"/>
      <c r="L109" s="2"/>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row>
    <row r="110" spans="1:49" ht="16" customHeight="1" x14ac:dyDescent="0.2">
      <c r="A110" s="6"/>
      <c r="B110" s="71"/>
      <c r="C110" s="11" t="s">
        <v>12</v>
      </c>
      <c r="D110" s="586">
        <f>SUM(D104:D109)</f>
        <v>5</v>
      </c>
      <c r="E110" s="587">
        <f>SUM(E104:E109)</f>
        <v>1.75</v>
      </c>
      <c r="F110" s="71"/>
      <c r="G110" s="71"/>
      <c r="H110" s="71"/>
      <c r="I110" s="71"/>
      <c r="J110" s="71"/>
      <c r="K110" s="71"/>
      <c r="L110" s="2"/>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row>
    <row r="111" spans="1:49" ht="16" customHeight="1" x14ac:dyDescent="0.2">
      <c r="A111" s="6"/>
      <c r="B111" s="71"/>
      <c r="C111" s="71"/>
      <c r="D111" s="71"/>
      <c r="E111" s="71"/>
      <c r="F111" s="71"/>
      <c r="G111" s="71"/>
      <c r="H111" s="71"/>
      <c r="I111" s="71"/>
      <c r="J111" s="71"/>
      <c r="K111" s="71"/>
      <c r="L111" s="2"/>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row>
    <row r="112" spans="1:49" ht="16" customHeight="1" x14ac:dyDescent="0.2">
      <c r="A112" s="8" t="s">
        <v>90</v>
      </c>
      <c r="B112" s="71"/>
      <c r="C112" s="71"/>
      <c r="D112" s="71"/>
      <c r="E112" s="71"/>
      <c r="F112" s="71"/>
      <c r="G112" s="71"/>
      <c r="H112" s="71"/>
      <c r="I112" s="71"/>
      <c r="J112" s="71"/>
      <c r="K112" s="71"/>
      <c r="L112" s="2"/>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row>
    <row r="113" spans="1:51" ht="16" customHeight="1" x14ac:dyDescent="0.2">
      <c r="A113" s="8"/>
      <c r="B113" s="632" t="s">
        <v>547</v>
      </c>
      <c r="C113" s="632"/>
      <c r="D113" s="632"/>
      <c r="E113" s="632"/>
      <c r="F113" s="632"/>
      <c r="G113" s="632"/>
      <c r="H113" s="632"/>
      <c r="I113" s="632"/>
      <c r="J113" s="71"/>
      <c r="K113" s="71"/>
      <c r="L113" s="2"/>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row>
    <row r="114" spans="1:51" ht="16" customHeight="1" x14ac:dyDescent="0.2">
      <c r="A114" s="8"/>
      <c r="B114" s="632"/>
      <c r="C114" s="632"/>
      <c r="D114" s="632"/>
      <c r="E114" s="632"/>
      <c r="F114" s="632"/>
      <c r="G114" s="632"/>
      <c r="H114" s="632"/>
      <c r="I114" s="632"/>
      <c r="J114" s="71"/>
      <c r="K114" s="71"/>
      <c r="L114" s="2"/>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row>
    <row r="115" spans="1:51" ht="16" customHeight="1" x14ac:dyDescent="0.2">
      <c r="A115" s="8"/>
      <c r="B115" s="71"/>
      <c r="C115" s="71"/>
      <c r="D115" s="71"/>
      <c r="E115" s="71"/>
      <c r="F115" s="71"/>
      <c r="G115" s="71"/>
      <c r="H115" s="71"/>
      <c r="I115" s="71"/>
      <c r="J115" s="71"/>
      <c r="K115" s="71"/>
      <c r="L115" s="2"/>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row>
    <row r="116" spans="1:51" ht="16" customHeight="1" x14ac:dyDescent="0.2">
      <c r="A116" s="6" t="s">
        <v>4</v>
      </c>
      <c r="B116" s="632" t="s">
        <v>96</v>
      </c>
      <c r="C116" s="632"/>
      <c r="D116" s="632"/>
      <c r="E116" s="632"/>
      <c r="F116" s="632"/>
      <c r="G116" s="632"/>
      <c r="H116" s="632"/>
      <c r="I116" s="632"/>
      <c r="J116" s="71"/>
      <c r="K116" s="71"/>
      <c r="L116" s="2"/>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row>
    <row r="117" spans="1:51" ht="16" customHeight="1" x14ac:dyDescent="0.2">
      <c r="A117" s="6"/>
      <c r="B117" s="632"/>
      <c r="C117" s="632"/>
      <c r="D117" s="632"/>
      <c r="E117" s="632"/>
      <c r="F117" s="632"/>
      <c r="G117" s="632"/>
      <c r="H117" s="632"/>
      <c r="I117" s="632"/>
      <c r="J117" s="71"/>
      <c r="K117" s="71"/>
      <c r="L117" s="2"/>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row>
    <row r="118" spans="1:51" ht="16" customHeight="1" x14ac:dyDescent="0.2">
      <c r="A118" s="6"/>
      <c r="B118" s="71"/>
      <c r="D118" s="71"/>
      <c r="E118" s="71"/>
      <c r="F118" s="71"/>
      <c r="G118" s="71"/>
      <c r="H118" s="71"/>
      <c r="I118" s="71"/>
      <c r="J118" s="71"/>
      <c r="K118" s="71"/>
      <c r="L118" s="2"/>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row>
    <row r="119" spans="1:51" ht="16" customHeight="1" x14ac:dyDescent="0.2">
      <c r="A119" s="6"/>
      <c r="B119" s="71"/>
      <c r="C119" s="71"/>
      <c r="D119" s="71"/>
      <c r="E119" s="71"/>
      <c r="F119" s="71"/>
      <c r="G119" s="71"/>
      <c r="H119" s="71"/>
      <c r="I119" s="71"/>
      <c r="J119" s="71"/>
      <c r="K119" s="71"/>
      <c r="L119" s="2"/>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row>
    <row r="120" spans="1:51" ht="16" customHeight="1" x14ac:dyDescent="0.2">
      <c r="A120" s="6"/>
      <c r="B120" s="71"/>
      <c r="C120" s="71"/>
      <c r="D120" s="71"/>
      <c r="E120" s="71"/>
      <c r="F120" s="71"/>
      <c r="G120" s="71"/>
      <c r="H120" s="71"/>
      <c r="I120" s="71"/>
      <c r="J120" s="71"/>
      <c r="K120" s="71"/>
      <c r="L120" s="2"/>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row>
    <row r="121" spans="1:51" ht="16" customHeight="1" x14ac:dyDescent="0.2">
      <c r="B121" s="71"/>
      <c r="C121" s="73"/>
      <c r="D121" s="637" t="s">
        <v>117</v>
      </c>
      <c r="E121" s="637"/>
      <c r="F121" s="637"/>
      <c r="G121" s="71"/>
      <c r="H121" s="71"/>
      <c r="I121" s="71"/>
      <c r="J121" s="71"/>
      <c r="K121" s="71"/>
      <c r="L121" s="71"/>
      <c r="M121" s="2"/>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row>
    <row r="122" spans="1:51" ht="16" customHeight="1" x14ac:dyDescent="0.2">
      <c r="B122" s="71"/>
      <c r="C122" s="17"/>
      <c r="D122" s="75" t="s">
        <v>126</v>
      </c>
      <c r="E122" s="15" t="s">
        <v>100</v>
      </c>
      <c r="F122" s="14" t="s">
        <v>101</v>
      </c>
      <c r="G122" s="9"/>
      <c r="H122" s="71"/>
      <c r="I122" s="71"/>
      <c r="J122" s="71"/>
      <c r="K122" s="71"/>
      <c r="L122" s="71"/>
      <c r="M122" s="2"/>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row>
    <row r="123" spans="1:51" ht="16" customHeight="1" x14ac:dyDescent="0.2">
      <c r="B123" s="71"/>
      <c r="C123" s="13" t="s">
        <v>12</v>
      </c>
      <c r="D123" s="595">
        <f>F8*3/12</f>
        <v>0.25</v>
      </c>
      <c r="E123" s="586">
        <f>D57-D95+D123</f>
        <v>1.916666666666667</v>
      </c>
      <c r="F123" s="596">
        <f>E57-E95+E123</f>
        <v>0.50000000000000044</v>
      </c>
      <c r="G123" s="9"/>
      <c r="H123" s="71"/>
      <c r="I123" s="71"/>
      <c r="J123" s="71"/>
      <c r="K123" s="71"/>
      <c r="L123" s="71"/>
      <c r="M123" s="2"/>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row>
    <row r="124" spans="1:51" ht="16" customHeight="1" x14ac:dyDescent="0.2">
      <c r="B124" s="71"/>
      <c r="C124" s="77"/>
      <c r="D124" s="77"/>
      <c r="E124" s="77"/>
      <c r="F124" s="9"/>
      <c r="G124" s="9"/>
      <c r="H124" s="71"/>
      <c r="I124" s="71"/>
      <c r="J124" s="71"/>
      <c r="K124" s="71"/>
      <c r="L124" s="71"/>
      <c r="M124" s="71"/>
      <c r="N124" s="2"/>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row>
    <row r="125" spans="1:51" ht="16" customHeight="1" x14ac:dyDescent="0.2">
      <c r="B125" s="638" t="s">
        <v>128</v>
      </c>
      <c r="C125" s="639"/>
      <c r="D125" s="639"/>
      <c r="E125" s="639"/>
      <c r="F125" s="639"/>
      <c r="G125" s="639"/>
      <c r="H125" s="639"/>
      <c r="I125" s="639"/>
      <c r="J125" s="71"/>
      <c r="K125" s="71"/>
      <c r="L125" s="71"/>
      <c r="M125" s="71"/>
      <c r="N125" s="2"/>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row>
    <row r="126" spans="1:51" ht="16" customHeight="1" x14ac:dyDescent="0.2">
      <c r="B126" s="639"/>
      <c r="C126" s="639"/>
      <c r="D126" s="639"/>
      <c r="E126" s="639"/>
      <c r="F126" s="639"/>
      <c r="G126" s="639"/>
      <c r="H126" s="639"/>
      <c r="I126" s="639"/>
      <c r="J126" s="71"/>
      <c r="K126" s="71"/>
      <c r="L126" s="71"/>
      <c r="M126" s="71"/>
      <c r="N126" s="2"/>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row>
    <row r="127" spans="1:51" ht="16" customHeight="1" x14ac:dyDescent="0.2">
      <c r="B127" s="639"/>
      <c r="C127" s="639"/>
      <c r="D127" s="639"/>
      <c r="E127" s="639"/>
      <c r="F127" s="639"/>
      <c r="G127" s="639"/>
      <c r="H127" s="639"/>
      <c r="I127" s="639"/>
      <c r="J127" s="71"/>
      <c r="K127" s="71"/>
      <c r="L127" s="71"/>
      <c r="M127" s="71"/>
      <c r="N127" s="2"/>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row>
    <row r="128" spans="1:51" ht="16" customHeight="1" x14ac:dyDescent="0.2">
      <c r="A128" s="6"/>
      <c r="B128" s="71"/>
      <c r="C128" s="71"/>
      <c r="D128" s="71"/>
      <c r="E128" s="71"/>
      <c r="F128" s="71"/>
      <c r="G128" s="71"/>
      <c r="H128" s="71"/>
      <c r="I128" s="71"/>
      <c r="J128" s="71"/>
      <c r="K128" s="71"/>
      <c r="L128" s="2"/>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row>
    <row r="129" spans="1:49" ht="16" customHeight="1" x14ac:dyDescent="0.2">
      <c r="A129" s="6" t="s">
        <v>84</v>
      </c>
      <c r="B129" s="632" t="s">
        <v>95</v>
      </c>
      <c r="C129" s="632"/>
      <c r="D129" s="632"/>
      <c r="E129" s="632"/>
      <c r="F129" s="632"/>
      <c r="G129" s="632"/>
      <c r="H129" s="632"/>
      <c r="I129" s="632"/>
      <c r="J129" s="71"/>
      <c r="K129" s="71"/>
      <c r="L129" s="2"/>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row>
    <row r="130" spans="1:49" ht="16" customHeight="1" x14ac:dyDescent="0.2">
      <c r="A130" s="6"/>
      <c r="B130" s="632"/>
      <c r="C130" s="632"/>
      <c r="D130" s="632"/>
      <c r="E130" s="632"/>
      <c r="F130" s="632"/>
      <c r="G130" s="632"/>
      <c r="H130" s="632"/>
      <c r="I130" s="632"/>
      <c r="J130" s="71"/>
      <c r="K130" s="71"/>
      <c r="L130" s="2"/>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row>
    <row r="131" spans="1:49" ht="16" customHeight="1" x14ac:dyDescent="0.2">
      <c r="A131" s="6"/>
      <c r="B131" s="7"/>
      <c r="C131" s="7"/>
      <c r="D131" s="7"/>
      <c r="E131" s="7"/>
      <c r="F131" s="7"/>
      <c r="G131" s="7"/>
      <c r="H131" s="7"/>
      <c r="I131" s="71"/>
      <c r="J131" s="71"/>
      <c r="K131" s="71"/>
      <c r="L131" s="2"/>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row>
    <row r="132" spans="1:49" ht="16" customHeight="1" x14ac:dyDescent="0.2">
      <c r="A132" s="6"/>
      <c r="B132" s="71"/>
      <c r="C132" s="71"/>
      <c r="D132" s="71"/>
      <c r="E132" s="71"/>
      <c r="F132" s="71"/>
      <c r="G132" s="71"/>
      <c r="H132" s="71"/>
      <c r="I132" s="71"/>
      <c r="J132" s="71"/>
      <c r="K132" s="71"/>
      <c r="L132" s="2"/>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row>
    <row r="133" spans="1:49" ht="16" customHeight="1" x14ac:dyDescent="0.2">
      <c r="A133" s="6"/>
      <c r="B133" s="71"/>
      <c r="C133" s="71"/>
      <c r="D133" s="71"/>
      <c r="E133" s="71"/>
      <c r="F133" s="71"/>
      <c r="G133" s="71"/>
      <c r="H133" s="71"/>
      <c r="I133" s="71"/>
      <c r="J133" s="71"/>
      <c r="K133" s="71"/>
      <c r="L133" s="2"/>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row>
    <row r="134" spans="1:49" ht="16" customHeight="1" x14ac:dyDescent="0.2">
      <c r="A134" s="6"/>
      <c r="B134" s="71"/>
      <c r="C134" s="73"/>
      <c r="D134" s="637" t="s">
        <v>117</v>
      </c>
      <c r="E134" s="637"/>
      <c r="F134" s="71"/>
      <c r="G134" s="71"/>
      <c r="H134" s="71"/>
      <c r="I134" s="71"/>
      <c r="J134" s="71"/>
      <c r="K134" s="71"/>
      <c r="L134" s="2"/>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row>
    <row r="135" spans="1:49" ht="16" customHeight="1" x14ac:dyDescent="0.2">
      <c r="A135" s="6"/>
      <c r="B135" s="71"/>
      <c r="C135" s="91"/>
      <c r="D135" s="15" t="s">
        <v>107</v>
      </c>
      <c r="E135" s="75" t="s">
        <v>108</v>
      </c>
      <c r="F135" s="634" t="s">
        <v>102</v>
      </c>
      <c r="G135" s="635"/>
      <c r="H135" s="635"/>
      <c r="I135" s="635"/>
      <c r="J135" s="71"/>
      <c r="K135" s="71"/>
      <c r="L135" s="2"/>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row>
    <row r="136" spans="1:49" ht="16" customHeight="1" x14ac:dyDescent="0.2">
      <c r="A136" s="6"/>
      <c r="B136" s="71"/>
      <c r="C136" s="11" t="s">
        <v>12</v>
      </c>
      <c r="D136" s="586">
        <f>D75-D110</f>
        <v>0</v>
      </c>
      <c r="E136" s="587">
        <f>E75-E110</f>
        <v>0.5</v>
      </c>
      <c r="F136" s="81" t="s">
        <v>145</v>
      </c>
      <c r="G136" s="71"/>
      <c r="H136" s="71"/>
      <c r="I136" s="71"/>
      <c r="J136" s="71"/>
      <c r="K136" s="71"/>
      <c r="L136" s="2"/>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row>
    <row r="137" spans="1:49" ht="16" customHeight="1" x14ac:dyDescent="0.2">
      <c r="A137" s="6"/>
      <c r="B137" s="71"/>
      <c r="C137" s="77"/>
      <c r="D137" s="9"/>
      <c r="E137" s="9"/>
      <c r="F137" s="81"/>
      <c r="G137" s="71"/>
      <c r="H137" s="71"/>
      <c r="I137" s="71"/>
      <c r="J137" s="71"/>
      <c r="K137" s="71"/>
      <c r="L137" s="2"/>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row>
    <row r="138" spans="1:49" ht="16" customHeight="1" x14ac:dyDescent="0.2">
      <c r="A138" s="6"/>
      <c r="B138" s="638" t="s">
        <v>548</v>
      </c>
      <c r="C138" s="639"/>
      <c r="D138" s="639"/>
      <c r="E138" s="639"/>
      <c r="F138" s="639"/>
      <c r="G138" s="639"/>
      <c r="H138" s="639"/>
      <c r="I138" s="639"/>
      <c r="J138" s="71"/>
      <c r="K138" s="71"/>
      <c r="L138" s="2"/>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row>
    <row r="139" spans="1:49" ht="16" customHeight="1" x14ac:dyDescent="0.2">
      <c r="A139" s="6"/>
      <c r="B139" s="639"/>
      <c r="C139" s="639"/>
      <c r="D139" s="639"/>
      <c r="E139" s="639"/>
      <c r="F139" s="639"/>
      <c r="G139" s="639"/>
      <c r="H139" s="639"/>
      <c r="I139" s="639"/>
      <c r="J139" s="71"/>
      <c r="K139" s="71"/>
      <c r="L139" s="2"/>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row>
    <row r="140" spans="1:49" ht="16" customHeight="1" x14ac:dyDescent="0.2">
      <c r="A140" s="6"/>
      <c r="B140" s="639"/>
      <c r="C140" s="639"/>
      <c r="D140" s="639"/>
      <c r="E140" s="639"/>
      <c r="F140" s="639"/>
      <c r="G140" s="639"/>
      <c r="H140" s="639"/>
      <c r="I140" s="639"/>
      <c r="J140" s="71"/>
      <c r="K140" s="71"/>
      <c r="L140" s="2"/>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row>
    <row r="141" spans="1:49" ht="16" customHeight="1" x14ac:dyDescent="0.2">
      <c r="A141" s="6"/>
      <c r="B141" s="71"/>
      <c r="C141" s="71"/>
      <c r="D141" s="71"/>
      <c r="E141" s="71"/>
      <c r="F141" s="71"/>
      <c r="G141" s="71"/>
      <c r="H141" s="71"/>
      <c r="I141" s="71"/>
      <c r="J141" s="71"/>
      <c r="K141" s="71"/>
      <c r="L141" s="2"/>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row>
    <row r="142" spans="1:49" ht="16" customHeight="1" x14ac:dyDescent="0.2">
      <c r="A142" s="8" t="s">
        <v>91</v>
      </c>
      <c r="B142" s="71"/>
      <c r="C142" s="71"/>
      <c r="D142" s="71"/>
      <c r="E142" s="71"/>
      <c r="F142" s="71"/>
      <c r="G142" s="71"/>
      <c r="H142" s="71"/>
      <c r="I142" s="71"/>
      <c r="J142" s="71"/>
      <c r="K142" s="71"/>
      <c r="L142" s="2"/>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row>
    <row r="143" spans="1:49" ht="16" customHeight="1" x14ac:dyDescent="0.2">
      <c r="A143" s="8"/>
      <c r="B143" s="632" t="s">
        <v>139</v>
      </c>
      <c r="C143" s="632"/>
      <c r="D143" s="632"/>
      <c r="E143" s="632"/>
      <c r="F143" s="632"/>
      <c r="G143" s="632"/>
      <c r="H143" s="632"/>
      <c r="I143" s="632"/>
      <c r="J143" s="71"/>
      <c r="K143" s="71"/>
      <c r="L143" s="2"/>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row>
    <row r="144" spans="1:49" ht="16" customHeight="1" x14ac:dyDescent="0.2">
      <c r="A144" s="8"/>
      <c r="B144" s="632"/>
      <c r="C144" s="632"/>
      <c r="D144" s="632"/>
      <c r="E144" s="632"/>
      <c r="F144" s="632"/>
      <c r="G144" s="632"/>
      <c r="H144" s="632"/>
      <c r="I144" s="632"/>
      <c r="J144" s="71"/>
      <c r="K144" s="71"/>
      <c r="L144" s="2"/>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row>
    <row r="145" spans="1:49" ht="16" customHeight="1" x14ac:dyDescent="0.2">
      <c r="A145" s="8"/>
      <c r="B145" s="71"/>
      <c r="C145" s="71"/>
      <c r="D145" s="71"/>
      <c r="E145" s="71"/>
      <c r="F145" s="71"/>
      <c r="G145" s="71"/>
      <c r="H145" s="71"/>
      <c r="I145" s="71"/>
      <c r="J145" s="71"/>
      <c r="K145" s="71"/>
      <c r="L145" s="2"/>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row>
    <row r="146" spans="1:49" ht="16" customHeight="1" x14ac:dyDescent="0.2">
      <c r="A146" s="6" t="s">
        <v>85</v>
      </c>
      <c r="B146" s="632" t="s">
        <v>97</v>
      </c>
      <c r="C146" s="632"/>
      <c r="D146" s="632"/>
      <c r="E146" s="632"/>
      <c r="F146" s="632"/>
      <c r="G146" s="632"/>
      <c r="H146" s="632"/>
      <c r="I146" s="632"/>
      <c r="J146" s="71"/>
      <c r="K146" s="71"/>
      <c r="L146" s="2"/>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row>
    <row r="147" spans="1:49" ht="16" customHeight="1" x14ac:dyDescent="0.2">
      <c r="A147" s="6"/>
      <c r="B147" s="632"/>
      <c r="C147" s="632"/>
      <c r="D147" s="632"/>
      <c r="E147" s="632"/>
      <c r="F147" s="632"/>
      <c r="G147" s="632"/>
      <c r="H147" s="632"/>
      <c r="I147" s="632"/>
      <c r="J147" s="71"/>
      <c r="K147" s="71"/>
      <c r="L147" s="2"/>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row>
    <row r="148" spans="1:49" ht="16" customHeight="1" x14ac:dyDescent="0.2">
      <c r="A148" s="6"/>
      <c r="B148" s="71"/>
      <c r="C148" s="71"/>
      <c r="D148" s="71"/>
      <c r="E148" s="71"/>
      <c r="F148" s="71"/>
      <c r="G148" s="71"/>
      <c r="H148" s="71"/>
      <c r="I148" s="71"/>
      <c r="J148" s="71"/>
      <c r="K148" s="71"/>
      <c r="L148" s="2"/>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row>
    <row r="149" spans="1:49" ht="16" customHeight="1" x14ac:dyDescent="0.2">
      <c r="A149" s="6"/>
      <c r="B149" s="71"/>
      <c r="C149" s="73"/>
      <c r="D149" s="82" t="s">
        <v>129</v>
      </c>
      <c r="E149" s="92"/>
      <c r="F149" s="71"/>
      <c r="G149" s="71"/>
      <c r="H149" s="71"/>
      <c r="I149" s="71"/>
      <c r="J149" s="71"/>
      <c r="K149" s="71"/>
      <c r="L149" s="2"/>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row>
    <row r="150" spans="1:49" ht="16" customHeight="1" x14ac:dyDescent="0.2">
      <c r="A150" s="6"/>
      <c r="B150" s="71"/>
      <c r="C150" s="17" t="s">
        <v>69</v>
      </c>
      <c r="D150" s="93">
        <v>44607</v>
      </c>
      <c r="E150" s="635" t="s">
        <v>102</v>
      </c>
      <c r="F150" s="635"/>
      <c r="G150" s="635"/>
      <c r="H150" s="635"/>
      <c r="I150" s="71"/>
      <c r="J150" s="71"/>
      <c r="K150" s="2"/>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row>
    <row r="151" spans="1:49" ht="16" customHeight="1" x14ac:dyDescent="0.2">
      <c r="A151" s="6"/>
      <c r="B151" s="71"/>
      <c r="C151" s="13" t="s">
        <v>20</v>
      </c>
      <c r="D151" s="597">
        <v>0</v>
      </c>
      <c r="E151" s="81" t="s">
        <v>131</v>
      </c>
      <c r="F151" s="71"/>
      <c r="G151" s="71"/>
      <c r="H151" s="71"/>
      <c r="I151" s="71"/>
      <c r="J151" s="71"/>
      <c r="K151" s="2"/>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row>
    <row r="152" spans="1:49" ht="16" customHeight="1" x14ac:dyDescent="0.2">
      <c r="A152" s="6"/>
      <c r="B152" s="71"/>
      <c r="C152" s="11" t="s">
        <v>23</v>
      </c>
      <c r="D152" s="597">
        <v>0</v>
      </c>
      <c r="E152" s="81" t="s">
        <v>132</v>
      </c>
      <c r="F152" s="71"/>
      <c r="G152" s="71"/>
      <c r="H152" s="71"/>
      <c r="I152" s="71"/>
      <c r="J152" s="71"/>
      <c r="K152" s="2"/>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row>
    <row r="153" spans="1:49" ht="16" customHeight="1" x14ac:dyDescent="0.2">
      <c r="A153" s="6"/>
      <c r="B153" s="71"/>
      <c r="C153" s="11" t="s">
        <v>72</v>
      </c>
      <c r="D153" s="597">
        <f>F10</f>
        <v>2</v>
      </c>
      <c r="E153" s="81" t="s">
        <v>133</v>
      </c>
      <c r="F153" s="71"/>
      <c r="G153" s="71"/>
      <c r="H153" s="71"/>
      <c r="I153" s="71"/>
      <c r="J153" s="71"/>
      <c r="K153" s="2"/>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row>
    <row r="154" spans="1:49" ht="16" customHeight="1" x14ac:dyDescent="0.2">
      <c r="A154" s="6"/>
      <c r="B154" s="71"/>
      <c r="C154" s="11" t="s">
        <v>73</v>
      </c>
      <c r="D154" s="597">
        <v>0</v>
      </c>
      <c r="E154" s="81" t="s">
        <v>131</v>
      </c>
      <c r="F154" s="71"/>
      <c r="G154" s="71"/>
      <c r="H154" s="71"/>
      <c r="I154" s="71"/>
      <c r="J154" s="71"/>
      <c r="K154" s="2"/>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row>
    <row r="155" spans="1:49" ht="16" customHeight="1" x14ac:dyDescent="0.2">
      <c r="A155" s="6"/>
      <c r="B155" s="71"/>
      <c r="C155" s="11" t="s">
        <v>74</v>
      </c>
      <c r="D155" s="597">
        <f>F12</f>
        <v>1</v>
      </c>
      <c r="E155" s="81"/>
      <c r="F155" s="71"/>
      <c r="G155" s="71"/>
      <c r="H155" s="71"/>
      <c r="I155" s="71"/>
      <c r="J155" s="71"/>
      <c r="K155" s="2"/>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row>
    <row r="156" spans="1:49" ht="16" customHeight="1" x14ac:dyDescent="0.2">
      <c r="B156" s="71"/>
      <c r="C156" s="78" t="s">
        <v>75</v>
      </c>
      <c r="D156" s="598">
        <v>0</v>
      </c>
      <c r="E156" s="600" t="s">
        <v>549</v>
      </c>
      <c r="F156" s="79"/>
      <c r="G156" s="79"/>
      <c r="H156" s="79"/>
      <c r="I156" s="71"/>
      <c r="J156" s="71"/>
      <c r="K156" s="2"/>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row>
    <row r="157" spans="1:49" ht="16" customHeight="1" x14ac:dyDescent="0.2">
      <c r="A157" s="6"/>
      <c r="B157" s="71"/>
      <c r="C157" s="11" t="s">
        <v>12</v>
      </c>
      <c r="D157" s="597">
        <f>SUM(D151:D156)</f>
        <v>3</v>
      </c>
      <c r="E157" s="71"/>
      <c r="F157" s="71"/>
      <c r="G157" s="71"/>
      <c r="H157" s="71"/>
      <c r="I157" s="71"/>
      <c r="J157" s="71"/>
      <c r="K157" s="2"/>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row>
    <row r="158" spans="1:49" ht="16" customHeight="1" x14ac:dyDescent="0.2">
      <c r="A158" s="6"/>
      <c r="B158" s="71"/>
      <c r="C158" s="77"/>
      <c r="D158" s="9"/>
      <c r="E158" s="9"/>
      <c r="F158" s="71"/>
      <c r="G158" s="71"/>
      <c r="H158" s="71"/>
      <c r="I158" s="71"/>
      <c r="J158" s="71"/>
      <c r="K158" s="71"/>
      <c r="L158" s="2"/>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row>
    <row r="159" spans="1:49" ht="16" customHeight="1" x14ac:dyDescent="0.2">
      <c r="A159" s="6" t="s">
        <v>86</v>
      </c>
      <c r="B159" s="632" t="s">
        <v>135</v>
      </c>
      <c r="C159" s="632"/>
      <c r="D159" s="632"/>
      <c r="E159" s="632"/>
      <c r="F159" s="632"/>
      <c r="G159" s="632"/>
      <c r="H159" s="632"/>
      <c r="I159" s="632"/>
      <c r="J159" s="71"/>
      <c r="K159" s="71"/>
      <c r="L159" s="2"/>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row>
    <row r="160" spans="1:49" ht="16" customHeight="1" x14ac:dyDescent="0.2">
      <c r="A160" s="6"/>
      <c r="B160" s="632"/>
      <c r="C160" s="632"/>
      <c r="D160" s="632"/>
      <c r="E160" s="632"/>
      <c r="F160" s="632"/>
      <c r="G160" s="632"/>
      <c r="H160" s="632"/>
      <c r="I160" s="632"/>
      <c r="J160" s="71"/>
      <c r="K160" s="71"/>
      <c r="L160" s="2"/>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row>
    <row r="161" spans="1:49" ht="16" customHeight="1" x14ac:dyDescent="0.2">
      <c r="A161" s="6"/>
      <c r="B161" s="71"/>
      <c r="C161" s="71"/>
      <c r="D161" s="71"/>
      <c r="E161" s="71"/>
      <c r="F161" s="71"/>
      <c r="G161" s="71"/>
      <c r="H161" s="71"/>
      <c r="I161" s="71"/>
      <c r="J161" s="71"/>
      <c r="K161" s="71"/>
      <c r="L161" s="2"/>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row>
    <row r="162" spans="1:49" ht="16" customHeight="1" x14ac:dyDescent="0.2">
      <c r="A162" s="6"/>
      <c r="B162" s="71"/>
      <c r="C162" s="73"/>
      <c r="D162" s="82" t="s">
        <v>129</v>
      </c>
      <c r="E162" s="92"/>
      <c r="F162" s="71"/>
      <c r="G162" s="71"/>
      <c r="H162" s="71"/>
      <c r="I162" s="71"/>
      <c r="J162" s="71"/>
      <c r="K162" s="71"/>
      <c r="L162" s="2"/>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row>
    <row r="163" spans="1:49" ht="16" customHeight="1" x14ac:dyDescent="0.2">
      <c r="A163" s="6"/>
      <c r="B163" s="71"/>
      <c r="C163" s="17" t="s">
        <v>69</v>
      </c>
      <c r="D163" s="93">
        <v>44607</v>
      </c>
      <c r="E163" s="635" t="s">
        <v>102</v>
      </c>
      <c r="F163" s="635"/>
      <c r="G163" s="635"/>
      <c r="H163" s="635"/>
      <c r="I163" s="71"/>
      <c r="J163" s="71"/>
      <c r="K163" s="2"/>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row>
    <row r="164" spans="1:49" ht="16" customHeight="1" x14ac:dyDescent="0.2">
      <c r="A164" s="6"/>
      <c r="B164" s="71"/>
      <c r="C164" s="13" t="s">
        <v>20</v>
      </c>
      <c r="D164" s="597">
        <v>0</v>
      </c>
      <c r="E164" s="81"/>
      <c r="F164" s="71"/>
      <c r="G164" s="71"/>
      <c r="H164" s="71"/>
      <c r="I164" s="71"/>
      <c r="J164" s="71"/>
      <c r="K164" s="2"/>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row>
    <row r="165" spans="1:49" ht="16" customHeight="1" x14ac:dyDescent="0.2">
      <c r="A165" s="6"/>
      <c r="B165" s="71"/>
      <c r="C165" s="11" t="s">
        <v>23</v>
      </c>
      <c r="D165" s="597">
        <v>0</v>
      </c>
      <c r="E165" s="81"/>
      <c r="F165" s="71"/>
      <c r="G165" s="71"/>
      <c r="H165" s="71"/>
      <c r="I165" s="71"/>
      <c r="J165" s="71"/>
      <c r="K165" s="2"/>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row>
    <row r="166" spans="1:49" ht="16" customHeight="1" x14ac:dyDescent="0.2">
      <c r="A166" s="6"/>
      <c r="B166" s="71"/>
      <c r="C166" s="11" t="s">
        <v>72</v>
      </c>
      <c r="D166" s="597">
        <v>2</v>
      </c>
      <c r="E166" s="601" t="s">
        <v>550</v>
      </c>
      <c r="F166" s="71"/>
      <c r="G166" s="71"/>
      <c r="H166" s="71"/>
      <c r="I166" s="71"/>
      <c r="J166" s="71"/>
      <c r="K166" s="2"/>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row>
    <row r="167" spans="1:49" ht="16" customHeight="1" x14ac:dyDescent="0.2">
      <c r="A167" s="6"/>
      <c r="B167" s="71"/>
      <c r="C167" s="11" t="s">
        <v>73</v>
      </c>
      <c r="D167" s="597">
        <v>0</v>
      </c>
      <c r="E167" s="81" t="s">
        <v>131</v>
      </c>
      <c r="F167" s="71"/>
      <c r="G167" s="71"/>
      <c r="H167" s="71"/>
      <c r="I167" s="71"/>
      <c r="J167" s="71"/>
      <c r="K167" s="2"/>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row>
    <row r="168" spans="1:49" ht="16" customHeight="1" x14ac:dyDescent="0.2">
      <c r="A168" s="6"/>
      <c r="B168" s="71"/>
      <c r="C168" s="11" t="s">
        <v>74</v>
      </c>
      <c r="D168" s="597">
        <f>F12*0.5</f>
        <v>0.5</v>
      </c>
      <c r="E168" s="81" t="s">
        <v>134</v>
      </c>
      <c r="F168" s="71"/>
      <c r="G168" s="71"/>
      <c r="H168" s="71"/>
      <c r="I168" s="71"/>
      <c r="J168" s="71"/>
      <c r="K168" s="2"/>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row>
    <row r="169" spans="1:49" x14ac:dyDescent="0.2">
      <c r="B169" s="71"/>
      <c r="C169" s="78" t="s">
        <v>75</v>
      </c>
      <c r="D169" s="598">
        <v>0</v>
      </c>
      <c r="E169" s="600" t="s">
        <v>549</v>
      </c>
      <c r="F169" s="79"/>
      <c r="G169" s="79"/>
      <c r="H169" s="79"/>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row>
    <row r="170" spans="1:49" x14ac:dyDescent="0.2">
      <c r="B170" s="71"/>
      <c r="C170" s="11" t="s">
        <v>12</v>
      </c>
      <c r="D170" s="597">
        <f>SUM(D164:D169)</f>
        <v>2.5</v>
      </c>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row>
    <row r="171" spans="1:49" x14ac:dyDescent="0.2">
      <c r="B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row>
    <row r="172" spans="1:49" ht="19" x14ac:dyDescent="0.25">
      <c r="A172" s="4" t="s">
        <v>3</v>
      </c>
      <c r="B172" s="71"/>
      <c r="C172" s="71"/>
      <c r="D172" s="71"/>
      <c r="E172" s="71"/>
      <c r="F172" s="71"/>
      <c r="G172" s="71"/>
      <c r="H172" s="71"/>
      <c r="I172" s="71"/>
      <c r="J172" s="71"/>
      <c r="K172" s="71"/>
      <c r="L172" s="2"/>
      <c r="M172" s="2"/>
      <c r="N172" s="2"/>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row>
    <row r="173" spans="1:49" ht="16" customHeight="1" x14ac:dyDescent="0.25">
      <c r="A173" s="4"/>
      <c r="B173" s="640" t="s">
        <v>146</v>
      </c>
      <c r="C173" s="644"/>
      <c r="D173" s="644"/>
      <c r="E173" s="644"/>
      <c r="F173" s="644"/>
      <c r="G173" s="644"/>
      <c r="H173" s="644"/>
      <c r="I173" s="644"/>
      <c r="J173" s="71"/>
      <c r="K173" s="71"/>
      <c r="L173" s="2"/>
      <c r="M173" s="2"/>
      <c r="N173" s="2"/>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row>
    <row r="174" spans="1:49" ht="16" customHeight="1" x14ac:dyDescent="0.25">
      <c r="A174" s="4"/>
      <c r="B174" s="644"/>
      <c r="C174" s="644"/>
      <c r="D174" s="644"/>
      <c r="E174" s="644"/>
      <c r="F174" s="644"/>
      <c r="G174" s="644"/>
      <c r="H174" s="644"/>
      <c r="I174" s="644"/>
      <c r="J174" s="71"/>
      <c r="K174" s="71"/>
      <c r="L174" s="2"/>
      <c r="M174" s="2"/>
      <c r="N174" s="2"/>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row>
    <row r="175" spans="1:49" ht="16" customHeight="1" x14ac:dyDescent="0.25">
      <c r="A175" s="4"/>
      <c r="B175" s="644"/>
      <c r="C175" s="644"/>
      <c r="D175" s="644"/>
      <c r="E175" s="644"/>
      <c r="F175" s="644"/>
      <c r="G175" s="644"/>
      <c r="H175" s="644"/>
      <c r="I175" s="644"/>
      <c r="J175" s="71"/>
      <c r="K175" s="71"/>
      <c r="L175" s="2"/>
      <c r="M175" s="2"/>
      <c r="N175" s="2"/>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row>
    <row r="176" spans="1:49" ht="16" customHeight="1" x14ac:dyDescent="0.25">
      <c r="A176" s="4"/>
      <c r="B176" s="644"/>
      <c r="C176" s="644"/>
      <c r="D176" s="644"/>
      <c r="E176" s="644"/>
      <c r="F176" s="644"/>
      <c r="G176" s="644"/>
      <c r="H176" s="644"/>
      <c r="I176" s="644"/>
      <c r="J176" s="71"/>
      <c r="K176" s="71"/>
      <c r="L176" s="2"/>
      <c r="M176" s="2"/>
      <c r="N176" s="2"/>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row>
    <row r="177" spans="1:65" ht="16" customHeight="1" x14ac:dyDescent="0.25">
      <c r="A177" s="4"/>
      <c r="B177" s="644"/>
      <c r="C177" s="644"/>
      <c r="D177" s="644"/>
      <c r="E177" s="644"/>
      <c r="F177" s="644"/>
      <c r="G177" s="644"/>
      <c r="H177" s="644"/>
      <c r="I177" s="644"/>
      <c r="J177" s="71"/>
      <c r="K177" s="71"/>
      <c r="L177" s="2"/>
      <c r="M177" s="2"/>
      <c r="N177" s="2"/>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row>
    <row r="178" spans="1:65" ht="16" customHeight="1" x14ac:dyDescent="0.25">
      <c r="A178" s="4"/>
      <c r="B178" s="644"/>
      <c r="C178" s="644"/>
      <c r="D178" s="644"/>
      <c r="E178" s="644"/>
      <c r="F178" s="644"/>
      <c r="G178" s="644"/>
      <c r="H178" s="644"/>
      <c r="I178" s="644"/>
      <c r="J178" s="71"/>
      <c r="K178" s="71"/>
      <c r="L178" s="2"/>
      <c r="M178" s="2"/>
      <c r="N178" s="2"/>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row>
    <row r="179" spans="1:65" ht="16" customHeight="1" x14ac:dyDescent="0.25">
      <c r="A179" s="4"/>
      <c r="B179" s="644"/>
      <c r="C179" s="644"/>
      <c r="D179" s="644"/>
      <c r="E179" s="644"/>
      <c r="F179" s="644"/>
      <c r="G179" s="644"/>
      <c r="H179" s="644"/>
      <c r="I179" s="644"/>
      <c r="J179" s="71"/>
      <c r="K179" s="71"/>
      <c r="L179" s="2"/>
      <c r="M179" s="2"/>
      <c r="N179" s="2"/>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row>
    <row r="180" spans="1:65" ht="16" customHeight="1" x14ac:dyDescent="0.25">
      <c r="A180" s="4"/>
      <c r="B180" s="644"/>
      <c r="C180" s="644"/>
      <c r="D180" s="644"/>
      <c r="E180" s="644"/>
      <c r="F180" s="644"/>
      <c r="G180" s="644"/>
      <c r="H180" s="644"/>
      <c r="I180" s="644"/>
      <c r="J180" s="71"/>
      <c r="K180" s="71"/>
      <c r="L180" s="2"/>
      <c r="M180" s="2"/>
      <c r="N180" s="2"/>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row>
    <row r="181" spans="1:65" ht="16" customHeight="1" x14ac:dyDescent="0.25">
      <c r="A181" s="4"/>
      <c r="B181" s="644"/>
      <c r="C181" s="644"/>
      <c r="D181" s="644"/>
      <c r="E181" s="644"/>
      <c r="F181" s="644"/>
      <c r="G181" s="644"/>
      <c r="H181" s="644"/>
      <c r="I181" s="644"/>
      <c r="J181" s="71"/>
      <c r="K181" s="71"/>
      <c r="L181" s="2"/>
      <c r="M181" s="2"/>
      <c r="N181" s="2"/>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row>
    <row r="182" spans="1:65" ht="16" customHeight="1" x14ac:dyDescent="0.25">
      <c r="A182" s="4"/>
      <c r="B182" s="644"/>
      <c r="C182" s="644"/>
      <c r="D182" s="644"/>
      <c r="E182" s="644"/>
      <c r="F182" s="644"/>
      <c r="G182" s="644"/>
      <c r="H182" s="644"/>
      <c r="I182" s="644"/>
      <c r="J182" s="71"/>
      <c r="K182" s="71"/>
      <c r="L182" s="2"/>
      <c r="M182" s="2"/>
      <c r="N182" s="2"/>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row>
    <row r="184" spans="1:65" ht="19" x14ac:dyDescent="0.25">
      <c r="A184" s="71"/>
      <c r="B184" s="5" t="s">
        <v>49</v>
      </c>
      <c r="C184" s="71"/>
      <c r="D184" s="71"/>
      <c r="E184" s="71"/>
      <c r="F184" s="71"/>
      <c r="G184" s="71"/>
      <c r="H184" s="71"/>
      <c r="I184" s="71"/>
      <c r="J184" s="71"/>
      <c r="K184" s="71"/>
      <c r="L184" s="2"/>
      <c r="M184" s="2"/>
      <c r="N184" s="2"/>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row>
    <row r="185" spans="1:65" x14ac:dyDescent="0.2">
      <c r="A185" s="2"/>
      <c r="B185" s="602" t="s">
        <v>141</v>
      </c>
      <c r="C185" s="94"/>
      <c r="D185" s="94"/>
      <c r="E185" s="94"/>
      <c r="F185" s="94"/>
      <c r="G185" s="94"/>
      <c r="H185" s="94"/>
      <c r="I185" s="94"/>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row>
    <row r="186" spans="1:65" x14ac:dyDescent="0.2">
      <c r="A186" s="2"/>
      <c r="B186" s="603" t="s">
        <v>140</v>
      </c>
      <c r="C186" s="94"/>
      <c r="D186" s="94"/>
      <c r="E186" s="94"/>
      <c r="F186" s="94"/>
      <c r="G186" s="94"/>
      <c r="H186" s="94"/>
      <c r="I186" s="94"/>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row>
    <row r="187" spans="1:65" x14ac:dyDescent="0.2">
      <c r="A187" s="2"/>
      <c r="B187" s="602" t="s">
        <v>142</v>
      </c>
      <c r="C187" s="94"/>
      <c r="D187" s="94"/>
      <c r="E187" s="94"/>
      <c r="F187" s="94"/>
      <c r="G187" s="94"/>
      <c r="H187" s="94"/>
      <c r="I187" s="94"/>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row>
    <row r="188" spans="1:65" x14ac:dyDescent="0.2">
      <c r="A188" s="2"/>
      <c r="B188" s="603" t="s">
        <v>143</v>
      </c>
      <c r="C188" s="94"/>
      <c r="D188" s="94"/>
      <c r="E188" s="94"/>
      <c r="F188" s="94"/>
      <c r="G188" s="94"/>
      <c r="H188" s="94"/>
      <c r="I188" s="94"/>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row>
    <row r="189" spans="1:65" x14ac:dyDescent="0.2">
      <c r="A189" s="2"/>
      <c r="B189" s="95" t="s">
        <v>144</v>
      </c>
      <c r="C189" s="94"/>
      <c r="D189" s="94"/>
      <c r="E189" s="94"/>
      <c r="F189" s="94"/>
      <c r="G189" s="94"/>
      <c r="H189" s="94"/>
      <c r="I189" s="94"/>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row>
    <row r="190" spans="1:65" x14ac:dyDescent="0.2">
      <c r="A190" s="2"/>
      <c r="B190" s="642" t="s">
        <v>147</v>
      </c>
      <c r="C190" s="643"/>
      <c r="D190" s="643"/>
      <c r="E190" s="643"/>
      <c r="F190" s="643"/>
      <c r="G190" s="643"/>
      <c r="H190" s="643"/>
      <c r="I190" s="643"/>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row>
    <row r="191" spans="1:65" x14ac:dyDescent="0.2">
      <c r="A191" s="2"/>
      <c r="B191" s="643"/>
      <c r="C191" s="643"/>
      <c r="D191" s="643"/>
      <c r="E191" s="643"/>
      <c r="F191" s="643"/>
      <c r="G191" s="643"/>
      <c r="H191" s="643"/>
      <c r="I191" s="643"/>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row>
    <row r="192" spans="1:65" x14ac:dyDescent="0.2">
      <c r="A192" s="2"/>
      <c r="B192" s="642" t="s">
        <v>148</v>
      </c>
      <c r="C192" s="643"/>
      <c r="D192" s="643"/>
      <c r="E192" s="643"/>
      <c r="F192" s="643"/>
      <c r="G192" s="643"/>
      <c r="H192" s="643"/>
      <c r="I192" s="643"/>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row>
    <row r="193" spans="1:65" x14ac:dyDescent="0.2">
      <c r="A193" s="2"/>
      <c r="B193" s="643"/>
      <c r="C193" s="643"/>
      <c r="D193" s="643"/>
      <c r="E193" s="643"/>
      <c r="F193" s="643"/>
      <c r="G193" s="643"/>
      <c r="H193" s="643"/>
      <c r="I193" s="643"/>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row>
    <row r="194" spans="1:65" x14ac:dyDescent="0.2">
      <c r="A194" s="2"/>
      <c r="B194" s="71"/>
      <c r="C194" s="71"/>
      <c r="D194" s="71"/>
      <c r="E194" s="71"/>
      <c r="F194" s="71"/>
      <c r="G194" s="71"/>
      <c r="H194" s="71"/>
      <c r="I194" s="71"/>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row>
    <row r="195" spans="1:65" ht="19" x14ac:dyDescent="0.25">
      <c r="A195" s="2"/>
      <c r="B195" s="5" t="s">
        <v>149</v>
      </c>
      <c r="C195" s="71"/>
      <c r="D195" s="71"/>
      <c r="E195" s="71"/>
      <c r="F195" s="71"/>
      <c r="G195" s="71"/>
      <c r="H195" s="71"/>
      <c r="I195" s="71"/>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row>
    <row r="196" spans="1:65" x14ac:dyDescent="0.2">
      <c r="A196" s="2"/>
      <c r="B196" s="640" t="s">
        <v>150</v>
      </c>
      <c r="C196" s="641"/>
      <c r="D196" s="641"/>
      <c r="E196" s="641"/>
      <c r="F196" s="641"/>
      <c r="G196" s="641"/>
      <c r="H196" s="641"/>
      <c r="I196" s="641"/>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row>
    <row r="197" spans="1:65" x14ac:dyDescent="0.2">
      <c r="A197" s="2"/>
      <c r="B197" s="641"/>
      <c r="C197" s="641"/>
      <c r="D197" s="641"/>
      <c r="E197" s="641"/>
      <c r="F197" s="641"/>
      <c r="G197" s="641"/>
      <c r="H197" s="641"/>
      <c r="I197" s="641"/>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row>
    <row r="198" spans="1:65" x14ac:dyDescent="0.2">
      <c r="A198" s="2"/>
      <c r="B198" s="641"/>
      <c r="C198" s="641"/>
      <c r="D198" s="641"/>
      <c r="E198" s="641"/>
      <c r="F198" s="641"/>
      <c r="G198" s="641"/>
      <c r="H198" s="641"/>
      <c r="I198" s="641"/>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row>
    <row r="199" spans="1:65" x14ac:dyDescent="0.2">
      <c r="A199" s="2"/>
      <c r="B199" s="96"/>
      <c r="C199" s="96"/>
      <c r="D199" s="96"/>
      <c r="E199" s="96"/>
      <c r="F199" s="96"/>
      <c r="G199" s="96"/>
      <c r="H199" s="96"/>
      <c r="I199" s="96"/>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row>
    <row r="200" spans="1:65" ht="19" x14ac:dyDescent="0.25">
      <c r="A200" s="2"/>
      <c r="B200" s="5" t="s">
        <v>136</v>
      </c>
      <c r="C200" s="71"/>
      <c r="D200" s="71"/>
      <c r="E200" s="71"/>
      <c r="F200" s="71"/>
      <c r="G200" s="71"/>
      <c r="H200" s="71"/>
      <c r="I200" s="71"/>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row>
    <row r="201" spans="1:65" x14ac:dyDescent="0.2">
      <c r="A201" s="2"/>
      <c r="B201" s="640" t="s">
        <v>551</v>
      </c>
      <c r="C201" s="641"/>
      <c r="D201" s="641"/>
      <c r="E201" s="641"/>
      <c r="F201" s="641"/>
      <c r="G201" s="641"/>
      <c r="H201" s="641"/>
      <c r="I201" s="641"/>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row>
    <row r="202" spans="1:65" x14ac:dyDescent="0.2">
      <c r="A202" s="2"/>
      <c r="B202" s="641"/>
      <c r="C202" s="641"/>
      <c r="D202" s="641"/>
      <c r="E202" s="641"/>
      <c r="F202" s="641"/>
      <c r="G202" s="641"/>
      <c r="H202" s="641"/>
      <c r="I202" s="641"/>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row>
    <row r="203" spans="1:65" x14ac:dyDescent="0.2">
      <c r="A203" s="2"/>
      <c r="B203" s="641"/>
      <c r="C203" s="641"/>
      <c r="D203" s="641"/>
      <c r="E203" s="641"/>
      <c r="F203" s="641"/>
      <c r="G203" s="641"/>
      <c r="H203" s="641"/>
      <c r="I203" s="641"/>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row>
    <row r="204" spans="1:65" x14ac:dyDescent="0.2">
      <c r="A204" s="2"/>
      <c r="B204" s="641"/>
      <c r="C204" s="641"/>
      <c r="D204" s="641"/>
      <c r="E204" s="641"/>
      <c r="F204" s="641"/>
      <c r="G204" s="641"/>
      <c r="H204" s="641"/>
      <c r="I204" s="641"/>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row>
    <row r="205" spans="1:65" x14ac:dyDescent="0.2">
      <c r="A205" s="2"/>
      <c r="B205" s="641"/>
      <c r="C205" s="641"/>
      <c r="D205" s="641"/>
      <c r="E205" s="641"/>
      <c r="F205" s="641"/>
      <c r="G205" s="641"/>
      <c r="H205" s="641"/>
      <c r="I205" s="641"/>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row>
    <row r="206" spans="1:65" x14ac:dyDescent="0.2">
      <c r="A206" s="2"/>
      <c r="B206" s="641"/>
      <c r="C206" s="641"/>
      <c r="D206" s="641"/>
      <c r="E206" s="641"/>
      <c r="F206" s="641"/>
      <c r="G206" s="641"/>
      <c r="H206" s="641"/>
      <c r="I206" s="641"/>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row>
    <row r="207" spans="1:65" x14ac:dyDescent="0.2">
      <c r="A207" s="2"/>
      <c r="B207" s="641"/>
      <c r="C207" s="641"/>
      <c r="D207" s="641"/>
      <c r="E207" s="641"/>
      <c r="F207" s="641"/>
      <c r="G207" s="641"/>
      <c r="H207" s="641"/>
      <c r="I207" s="641"/>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row>
    <row r="208" spans="1:65" x14ac:dyDescent="0.2">
      <c r="A208" s="2"/>
      <c r="B208" s="641"/>
      <c r="C208" s="641"/>
      <c r="D208" s="641"/>
      <c r="E208" s="641"/>
      <c r="F208" s="641"/>
      <c r="G208" s="641"/>
      <c r="H208" s="641"/>
      <c r="I208" s="641"/>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row>
    <row r="209" spans="1:65" x14ac:dyDescent="0.2">
      <c r="A209" s="2"/>
      <c r="B209" s="96"/>
      <c r="C209" s="96"/>
      <c r="D209" s="96"/>
      <c r="E209" s="96"/>
      <c r="F209" s="96"/>
      <c r="G209" s="96"/>
      <c r="H209" s="96"/>
      <c r="I209" s="96"/>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row>
    <row r="210" spans="1:65" ht="19" x14ac:dyDescent="0.25">
      <c r="A210" s="4" t="s">
        <v>1</v>
      </c>
      <c r="B210" s="71"/>
      <c r="C210" s="71"/>
      <c r="D210" s="71"/>
      <c r="E210" s="71"/>
      <c r="F210" s="71"/>
      <c r="G210" s="71"/>
      <c r="H210" s="71"/>
      <c r="I210" s="71"/>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row>
    <row r="211" spans="1:65" x14ac:dyDescent="0.2">
      <c r="A211" s="2"/>
      <c r="B211" s="601" t="s">
        <v>98</v>
      </c>
      <c r="C211" s="71"/>
      <c r="D211" s="71"/>
      <c r="E211" s="71"/>
      <c r="F211" s="71"/>
      <c r="G211" s="71"/>
      <c r="H211" s="71"/>
      <c r="I211" s="71"/>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row>
    <row r="212" spans="1:65" x14ac:dyDescent="0.2">
      <c r="A212" s="2"/>
      <c r="B212" s="71"/>
      <c r="C212" s="71"/>
      <c r="D212" s="71"/>
      <c r="E212" s="71"/>
      <c r="F212" s="71"/>
      <c r="G212" s="71"/>
      <c r="H212" s="71"/>
      <c r="I212" s="71"/>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row>
    <row r="213" spans="1:65" ht="19" x14ac:dyDescent="0.25">
      <c r="A213" s="4" t="s">
        <v>0</v>
      </c>
      <c r="B213" s="71"/>
      <c r="C213" s="71"/>
      <c r="D213" s="71"/>
      <c r="E213" s="71"/>
      <c r="F213" s="71"/>
      <c r="G213" s="71"/>
      <c r="H213" s="71"/>
      <c r="I213" s="71"/>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row>
    <row r="214" spans="1:65" x14ac:dyDescent="0.2">
      <c r="A214" s="2"/>
      <c r="B214" s="601" t="s">
        <v>583</v>
      </c>
      <c r="C214" s="71"/>
      <c r="D214" s="71"/>
      <c r="E214" s="71"/>
      <c r="F214" s="71"/>
      <c r="G214" s="71"/>
      <c r="H214" s="71"/>
      <c r="I214" s="71"/>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row>
    <row r="215" spans="1:65" x14ac:dyDescent="0.2">
      <c r="A215" s="2"/>
      <c r="B215" s="601" t="s">
        <v>584</v>
      </c>
      <c r="C215" s="71"/>
      <c r="D215" s="71"/>
      <c r="E215" s="71"/>
      <c r="F215" s="71"/>
      <c r="G215" s="71"/>
      <c r="H215" s="71"/>
      <c r="I215" s="71"/>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row>
    <row r="216" spans="1:65" x14ac:dyDescent="0.2">
      <c r="A216" s="2"/>
      <c r="B216" s="601" t="s">
        <v>614</v>
      </c>
      <c r="C216" s="71"/>
      <c r="D216" s="71"/>
      <c r="E216" s="71"/>
      <c r="F216" s="71"/>
      <c r="G216" s="71"/>
      <c r="H216" s="71"/>
      <c r="I216" s="71"/>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row>
    <row r="217" spans="1:65" x14ac:dyDescent="0.2">
      <c r="A217" s="2"/>
      <c r="B217" s="601" t="s">
        <v>615</v>
      </c>
      <c r="C217" s="71"/>
      <c r="D217" s="71"/>
      <c r="E217" s="71"/>
      <c r="F217" s="71"/>
      <c r="G217" s="71"/>
      <c r="H217" s="71"/>
      <c r="I217" s="71"/>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row>
    <row r="218" spans="1:65" x14ac:dyDescent="0.2">
      <c r="A218" s="2"/>
      <c r="B218" s="601" t="s">
        <v>585</v>
      </c>
      <c r="C218" s="71"/>
      <c r="D218" s="71"/>
      <c r="E218" s="71"/>
      <c r="F218" s="71"/>
      <c r="G218" s="71"/>
      <c r="H218" s="71"/>
      <c r="I218" s="71"/>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row>
    <row r="219" spans="1:65" x14ac:dyDescent="0.2">
      <c r="A219" s="2"/>
      <c r="B219" s="601" t="s">
        <v>586</v>
      </c>
      <c r="C219" s="71"/>
      <c r="D219" s="71"/>
      <c r="E219" s="71"/>
      <c r="F219" s="71"/>
      <c r="G219" s="71"/>
      <c r="H219" s="71"/>
      <c r="I219" s="71"/>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row>
    <row r="220" spans="1:65" x14ac:dyDescent="0.2">
      <c r="A220" s="2"/>
      <c r="B220" s="601" t="s">
        <v>580</v>
      </c>
      <c r="C220" s="71"/>
      <c r="D220" s="71"/>
      <c r="E220" s="71"/>
      <c r="F220" s="71"/>
      <c r="G220" s="71"/>
      <c r="H220" s="71"/>
      <c r="I220" s="71"/>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row>
    <row r="221" spans="1:65" x14ac:dyDescent="0.2">
      <c r="A221" s="2"/>
      <c r="B221" s="601" t="s">
        <v>587</v>
      </c>
      <c r="C221" s="71"/>
      <c r="D221" s="71"/>
      <c r="E221" s="71"/>
      <c r="F221" s="71"/>
      <c r="G221" s="71"/>
      <c r="H221" s="71"/>
      <c r="I221" s="71"/>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row>
    <row r="222" spans="1:65" x14ac:dyDescent="0.2">
      <c r="A222" s="2"/>
      <c r="B222" s="601" t="s">
        <v>588</v>
      </c>
      <c r="C222" s="71"/>
      <c r="D222" s="71"/>
      <c r="E222" s="71"/>
      <c r="F222" s="71"/>
      <c r="G222" s="71"/>
      <c r="H222" s="71"/>
      <c r="I222" s="71"/>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row>
  </sheetData>
  <mergeCells count="35">
    <mergeCell ref="B201:I208"/>
    <mergeCell ref="B192:I193"/>
    <mergeCell ref="B173:I182"/>
    <mergeCell ref="B190:I191"/>
    <mergeCell ref="B146:I147"/>
    <mergeCell ref="B159:I160"/>
    <mergeCell ref="E150:H150"/>
    <mergeCell ref="E163:H163"/>
    <mergeCell ref="B196:I198"/>
    <mergeCell ref="B143:I144"/>
    <mergeCell ref="F135:I135"/>
    <mergeCell ref="D121:F121"/>
    <mergeCell ref="B125:I127"/>
    <mergeCell ref="B138:I140"/>
    <mergeCell ref="D134:E134"/>
    <mergeCell ref="B116:I117"/>
    <mergeCell ref="D49:E49"/>
    <mergeCell ref="F50:I50"/>
    <mergeCell ref="B59:I61"/>
    <mergeCell ref="B129:I130"/>
    <mergeCell ref="D87:E87"/>
    <mergeCell ref="F88:I88"/>
    <mergeCell ref="D102:E102"/>
    <mergeCell ref="F103:I103"/>
    <mergeCell ref="B113:I114"/>
    <mergeCell ref="B81:I83"/>
    <mergeCell ref="B97:I98"/>
    <mergeCell ref="B4:I5"/>
    <mergeCell ref="B38:I39"/>
    <mergeCell ref="B63:I65"/>
    <mergeCell ref="B41:I43"/>
    <mergeCell ref="B78:I79"/>
    <mergeCell ref="D67:E67"/>
    <mergeCell ref="F68:I68"/>
    <mergeCell ref="D48:E48"/>
  </mergeCells>
  <phoneticPr fontId="55" type="noConversion"/>
  <pageMargins left="0.7" right="0.7" top="0.75" bottom="0.75" header="0.3" footer="0.3"/>
  <pageSetup scale="71" fitToHeight="4"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149AD-40B5-1D41-8EC9-75C904493BA3}">
  <sheetPr codeName="Sheet11"/>
  <dimension ref="A1:BM174"/>
  <sheetViews>
    <sheetView showGridLines="0" zoomScale="120" zoomScaleNormal="120" workbookViewId="0"/>
  </sheetViews>
  <sheetFormatPr baseColWidth="10" defaultColWidth="10.83203125" defaultRowHeight="16" x14ac:dyDescent="0.2"/>
  <cols>
    <col min="1" max="1" width="10.83203125" style="1"/>
    <col min="2" max="3" width="10.83203125" style="1" customWidth="1"/>
    <col min="4" max="4" width="10.83203125" style="1"/>
    <col min="5" max="5" width="11.33203125" style="1" customWidth="1"/>
    <col min="6" max="7" width="11.1640625" style="1" customWidth="1"/>
    <col min="8" max="8" width="10.83203125" style="1"/>
    <col min="9" max="9" width="11.6640625" style="1" customWidth="1"/>
    <col min="10" max="10" width="10.83203125" style="1" customWidth="1"/>
    <col min="11" max="16384" width="10.83203125" style="1"/>
  </cols>
  <sheetData>
    <row r="1" spans="1:49" ht="19" x14ac:dyDescent="0.25">
      <c r="A1" s="29" t="s">
        <v>418</v>
      </c>
      <c r="B1" s="98"/>
      <c r="C1" s="98"/>
      <c r="D1" s="98"/>
      <c r="E1" s="98"/>
      <c r="F1" s="98"/>
      <c r="G1" s="98"/>
      <c r="H1" s="98"/>
      <c r="I1" s="98"/>
      <c r="J1" s="99"/>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49" x14ac:dyDescent="0.2">
      <c r="A2" s="101"/>
      <c r="B2" s="98"/>
      <c r="C2" s="98"/>
      <c r="D2" s="98"/>
      <c r="E2" s="98"/>
      <c r="F2" s="98"/>
      <c r="G2" s="98"/>
      <c r="H2" s="98"/>
      <c r="I2" s="98"/>
      <c r="J2" s="99"/>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x14ac:dyDescent="0.2">
      <c r="A3" s="102"/>
      <c r="B3" s="28" t="s">
        <v>11</v>
      </c>
      <c r="C3" s="98"/>
      <c r="D3" s="98"/>
      <c r="E3" s="98"/>
      <c r="F3" s="98"/>
      <c r="G3" s="98"/>
      <c r="H3" s="98"/>
      <c r="I3" s="98"/>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row>
    <row r="4" spans="1:49" ht="16" customHeight="1" x14ac:dyDescent="0.2">
      <c r="A4" s="102"/>
      <c r="B4" s="343" t="s">
        <v>425</v>
      </c>
      <c r="C4" s="103"/>
      <c r="D4" s="103"/>
      <c r="E4" s="103"/>
      <c r="F4" s="103"/>
      <c r="G4" s="103"/>
      <c r="H4" s="103"/>
      <c r="I4" s="103"/>
      <c r="J4" s="99"/>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1:49" x14ac:dyDescent="0.2">
      <c r="A5" s="102"/>
      <c r="B5" s="98"/>
      <c r="C5" s="98"/>
      <c r="D5" s="98"/>
      <c r="E5" s="98"/>
      <c r="F5" s="98"/>
      <c r="G5" s="98"/>
      <c r="H5" s="98"/>
      <c r="I5" s="98"/>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ht="16" customHeight="1" x14ac:dyDescent="0.2">
      <c r="A6" s="102"/>
      <c r="B6" s="98"/>
      <c r="C6" s="516" t="s">
        <v>364</v>
      </c>
      <c r="D6" s="516" t="s">
        <v>419</v>
      </c>
      <c r="E6" s="710" t="s">
        <v>573</v>
      </c>
      <c r="F6" s="711"/>
      <c r="G6" s="711"/>
      <c r="H6" s="711"/>
      <c r="I6" s="712"/>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ht="16" customHeight="1" x14ac:dyDescent="0.2">
      <c r="A7" s="102"/>
      <c r="B7" s="98"/>
      <c r="C7" s="496" t="s">
        <v>10</v>
      </c>
      <c r="D7" s="345" t="s">
        <v>420</v>
      </c>
      <c r="E7" s="344">
        <v>1</v>
      </c>
      <c r="F7" s="344">
        <v>2</v>
      </c>
      <c r="G7" s="344">
        <v>3</v>
      </c>
      <c r="H7" s="344">
        <v>4</v>
      </c>
      <c r="I7" s="517">
        <v>5</v>
      </c>
      <c r="J7" s="99"/>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x14ac:dyDescent="0.2">
      <c r="A8" s="102"/>
      <c r="B8" s="98"/>
      <c r="C8" s="481">
        <v>2007</v>
      </c>
      <c r="D8" s="346">
        <v>76875714</v>
      </c>
      <c r="E8" s="104">
        <v>2022062</v>
      </c>
      <c r="F8" s="104">
        <v>1787954</v>
      </c>
      <c r="G8" s="104">
        <v>1242313</v>
      </c>
      <c r="H8" s="104">
        <v>1131477</v>
      </c>
      <c r="I8" s="518">
        <v>973805</v>
      </c>
      <c r="J8" s="99"/>
      <c r="K8" s="186"/>
      <c r="L8" s="186"/>
      <c r="M8" s="186"/>
      <c r="N8" s="186"/>
      <c r="O8" s="186"/>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49" x14ac:dyDescent="0.2">
      <c r="A9" s="102"/>
      <c r="B9" s="98"/>
      <c r="C9" s="482">
        <v>2008</v>
      </c>
      <c r="D9" s="346">
        <v>60916907</v>
      </c>
      <c r="E9" s="104">
        <v>2005466</v>
      </c>
      <c r="F9" s="104">
        <v>1862951</v>
      </c>
      <c r="G9" s="104">
        <v>1543141</v>
      </c>
      <c r="H9" s="104">
        <v>1455848</v>
      </c>
      <c r="I9" s="518">
        <v>1185086</v>
      </c>
      <c r="J9" s="99"/>
      <c r="K9" s="186"/>
      <c r="L9" s="186"/>
      <c r="M9" s="186"/>
      <c r="N9" s="186"/>
      <c r="O9" s="186"/>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x14ac:dyDescent="0.2">
      <c r="A10" s="102"/>
      <c r="B10" s="98"/>
      <c r="C10" s="482">
        <v>2009</v>
      </c>
      <c r="D10" s="346">
        <v>41712714</v>
      </c>
      <c r="E10" s="104">
        <v>1061301</v>
      </c>
      <c r="F10" s="104">
        <v>1037846</v>
      </c>
      <c r="G10" s="104">
        <v>969623</v>
      </c>
      <c r="H10" s="104">
        <v>951167</v>
      </c>
      <c r="I10" s="518">
        <v>890444</v>
      </c>
      <c r="J10" s="99"/>
      <c r="K10" s="186"/>
      <c r="L10" s="186"/>
      <c r="M10" s="186"/>
      <c r="N10" s="186"/>
      <c r="O10" s="186"/>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x14ac:dyDescent="0.2">
      <c r="A11" s="102"/>
      <c r="B11" s="98"/>
      <c r="C11" s="482">
        <v>2010</v>
      </c>
      <c r="D11" s="346">
        <v>63515325</v>
      </c>
      <c r="E11" s="104">
        <v>1716360</v>
      </c>
      <c r="F11" s="104">
        <v>1633779</v>
      </c>
      <c r="G11" s="104">
        <v>1204630</v>
      </c>
      <c r="H11" s="104">
        <v>1124469</v>
      </c>
      <c r="I11" s="518">
        <v>1028317</v>
      </c>
      <c r="J11" s="99"/>
      <c r="K11" s="186"/>
      <c r="L11" s="186"/>
      <c r="M11" s="186"/>
      <c r="N11" s="186"/>
      <c r="O11" s="186"/>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x14ac:dyDescent="0.2">
      <c r="A12" s="102"/>
      <c r="B12" s="98"/>
      <c r="C12" s="482">
        <v>2011</v>
      </c>
      <c r="D12" s="346">
        <v>53000933</v>
      </c>
      <c r="E12" s="104">
        <v>2314636</v>
      </c>
      <c r="F12" s="104">
        <v>1457525</v>
      </c>
      <c r="G12" s="104">
        <v>1316407</v>
      </c>
      <c r="H12" s="104">
        <v>1080797</v>
      </c>
      <c r="I12" s="518">
        <v>1063648</v>
      </c>
      <c r="J12" s="99"/>
      <c r="K12" s="186"/>
      <c r="L12" s="186"/>
      <c r="M12" s="186"/>
      <c r="N12" s="186"/>
      <c r="O12" s="186"/>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x14ac:dyDescent="0.2">
      <c r="A13" s="102"/>
      <c r="B13" s="98"/>
      <c r="C13" s="482">
        <v>2012</v>
      </c>
      <c r="D13" s="346">
        <v>44869468</v>
      </c>
      <c r="E13" s="104">
        <v>1674273</v>
      </c>
      <c r="F13" s="104">
        <v>999249</v>
      </c>
      <c r="G13" s="104">
        <v>915594</v>
      </c>
      <c r="H13" s="104">
        <v>908755</v>
      </c>
      <c r="I13" s="518">
        <v>870177</v>
      </c>
      <c r="J13" s="99"/>
      <c r="K13" s="186"/>
      <c r="L13" s="186"/>
      <c r="M13" s="186"/>
      <c r="N13" s="186"/>
      <c r="O13" s="186"/>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x14ac:dyDescent="0.2">
      <c r="A14" s="102"/>
      <c r="B14" s="98"/>
      <c r="C14" s="482">
        <v>2013</v>
      </c>
      <c r="D14" s="346">
        <v>43260337</v>
      </c>
      <c r="E14" s="104">
        <v>2002786</v>
      </c>
      <c r="F14" s="104">
        <v>1388327</v>
      </c>
      <c r="G14" s="104">
        <v>1231978</v>
      </c>
      <c r="H14" s="104">
        <v>1154774</v>
      </c>
      <c r="I14" s="518">
        <v>1007637</v>
      </c>
      <c r="J14" s="99"/>
      <c r="K14" s="186"/>
      <c r="L14" s="186"/>
      <c r="M14" s="186"/>
      <c r="N14" s="186"/>
      <c r="O14" s="186"/>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x14ac:dyDescent="0.2">
      <c r="A15" s="102"/>
      <c r="B15" s="98"/>
      <c r="C15" s="482">
        <v>2014</v>
      </c>
      <c r="D15" s="346">
        <v>61967802</v>
      </c>
      <c r="E15" s="104">
        <v>1422431</v>
      </c>
      <c r="F15" s="104">
        <v>1340170</v>
      </c>
      <c r="G15" s="104">
        <v>1264830</v>
      </c>
      <c r="H15" s="104">
        <v>1161002</v>
      </c>
      <c r="I15" s="518">
        <v>1120878</v>
      </c>
      <c r="J15" s="99"/>
      <c r="K15" s="186"/>
      <c r="L15" s="186"/>
      <c r="M15" s="186"/>
      <c r="N15" s="186"/>
      <c r="O15" s="186"/>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x14ac:dyDescent="0.2">
      <c r="A16" s="102"/>
      <c r="B16" s="98"/>
      <c r="C16" s="482">
        <v>2015</v>
      </c>
      <c r="D16" s="346">
        <v>47051055</v>
      </c>
      <c r="E16" s="104">
        <v>2536648</v>
      </c>
      <c r="F16" s="104">
        <v>1832912</v>
      </c>
      <c r="G16" s="104">
        <v>1471365</v>
      </c>
      <c r="H16" s="104">
        <v>1302771</v>
      </c>
      <c r="I16" s="518">
        <v>1141176</v>
      </c>
      <c r="J16" s="99"/>
      <c r="K16" s="186"/>
      <c r="L16" s="186"/>
      <c r="M16" s="186"/>
      <c r="N16" s="186"/>
      <c r="O16" s="186"/>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x14ac:dyDescent="0.2">
      <c r="A17" s="102"/>
      <c r="B17" s="98"/>
      <c r="C17" s="482">
        <v>2016</v>
      </c>
      <c r="D17" s="346">
        <v>43054299</v>
      </c>
      <c r="E17" s="104">
        <v>1614409</v>
      </c>
      <c r="F17" s="104">
        <v>1035201</v>
      </c>
      <c r="G17" s="104">
        <v>1020831</v>
      </c>
      <c r="H17" s="104">
        <v>961403</v>
      </c>
      <c r="I17" s="518">
        <v>928812</v>
      </c>
      <c r="J17" s="99"/>
      <c r="K17" s="186"/>
      <c r="L17" s="186"/>
      <c r="M17" s="186"/>
      <c r="N17" s="186"/>
      <c r="O17" s="186"/>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x14ac:dyDescent="0.2">
      <c r="A18" s="102"/>
      <c r="B18" s="98"/>
      <c r="C18" s="482">
        <v>2017</v>
      </c>
      <c r="D18" s="346">
        <v>45806432</v>
      </c>
      <c r="E18" s="104">
        <v>1725250</v>
      </c>
      <c r="F18" s="104">
        <v>1337870</v>
      </c>
      <c r="G18" s="104">
        <v>1219562</v>
      </c>
      <c r="H18" s="104">
        <v>1197121</v>
      </c>
      <c r="I18" s="518">
        <v>1195792</v>
      </c>
      <c r="J18" s="99"/>
      <c r="K18" s="186"/>
      <c r="L18" s="186"/>
      <c r="M18" s="186"/>
      <c r="N18" s="186"/>
      <c r="O18" s="186"/>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x14ac:dyDescent="0.2">
      <c r="A19" s="102"/>
      <c r="B19" s="98"/>
      <c r="C19" s="482">
        <v>2018</v>
      </c>
      <c r="D19" s="346">
        <v>46417329</v>
      </c>
      <c r="E19" s="104">
        <v>1496189</v>
      </c>
      <c r="F19" s="104">
        <v>1190257</v>
      </c>
      <c r="G19" s="104">
        <v>932890</v>
      </c>
      <c r="H19" s="104">
        <v>850882</v>
      </c>
      <c r="I19" s="518">
        <v>844945</v>
      </c>
      <c r="J19" s="99"/>
      <c r="K19" s="186"/>
      <c r="L19" s="186"/>
      <c r="M19" s="186"/>
      <c r="N19" s="186"/>
      <c r="O19" s="186"/>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x14ac:dyDescent="0.2">
      <c r="A20" s="102"/>
      <c r="B20" s="98"/>
      <c r="C20" s="482">
        <v>2019</v>
      </c>
      <c r="D20" s="346">
        <v>45572683</v>
      </c>
      <c r="E20" s="104">
        <v>1128725</v>
      </c>
      <c r="F20" s="104">
        <v>931334</v>
      </c>
      <c r="G20" s="104">
        <v>848336</v>
      </c>
      <c r="H20" s="104">
        <v>815734</v>
      </c>
      <c r="I20" s="518">
        <v>812016</v>
      </c>
      <c r="J20" s="99"/>
      <c r="K20" s="186"/>
      <c r="L20" s="186"/>
      <c r="M20" s="186"/>
      <c r="N20" s="186"/>
      <c r="O20" s="186"/>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x14ac:dyDescent="0.2">
      <c r="A21" s="102"/>
      <c r="B21" s="98"/>
      <c r="C21" s="482">
        <v>2020</v>
      </c>
      <c r="D21" s="346">
        <v>46415447</v>
      </c>
      <c r="E21" s="104">
        <v>1298035</v>
      </c>
      <c r="F21" s="104">
        <v>1255713</v>
      </c>
      <c r="G21" s="104">
        <v>1175925</v>
      </c>
      <c r="H21" s="104">
        <v>1161828</v>
      </c>
      <c r="I21" s="518">
        <v>1151466</v>
      </c>
      <c r="J21" s="99"/>
      <c r="K21" s="186"/>
      <c r="L21" s="186"/>
      <c r="M21" s="186"/>
      <c r="N21" s="186"/>
      <c r="O21" s="186"/>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x14ac:dyDescent="0.2">
      <c r="A22" s="102"/>
      <c r="B22" s="98"/>
      <c r="C22" s="483">
        <v>2021</v>
      </c>
      <c r="D22" s="519">
        <v>40037115</v>
      </c>
      <c r="E22" s="331">
        <v>1543742</v>
      </c>
      <c r="F22" s="331">
        <v>1313928</v>
      </c>
      <c r="G22" s="331">
        <v>1114386</v>
      </c>
      <c r="H22" s="331">
        <v>1103745</v>
      </c>
      <c r="I22" s="505">
        <v>986073</v>
      </c>
      <c r="J22" s="99"/>
      <c r="K22" s="186"/>
      <c r="L22" s="186"/>
      <c r="M22" s="186"/>
      <c r="N22" s="186"/>
      <c r="O22" s="186"/>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x14ac:dyDescent="0.2">
      <c r="A23" s="102"/>
      <c r="B23" s="98"/>
      <c r="C23" s="104"/>
      <c r="D23" s="104"/>
      <c r="E23" s="104"/>
      <c r="F23" s="98"/>
      <c r="G23" s="98"/>
      <c r="H23" s="98"/>
      <c r="I23" s="98"/>
      <c r="J23" s="99"/>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x14ac:dyDescent="0.2">
      <c r="A24" s="102"/>
      <c r="B24" s="583" t="s">
        <v>529</v>
      </c>
      <c r="C24" s="104"/>
      <c r="D24" s="106">
        <v>1250000</v>
      </c>
      <c r="E24" s="104"/>
      <c r="F24" s="104"/>
      <c r="G24" s="104"/>
      <c r="H24" s="98"/>
      <c r="I24" s="98"/>
      <c r="J24" s="99"/>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x14ac:dyDescent="0.2">
      <c r="A25" s="102"/>
      <c r="B25" s="374" t="s">
        <v>440</v>
      </c>
      <c r="C25" s="104"/>
      <c r="D25" s="106"/>
      <c r="E25" s="104"/>
      <c r="F25" s="104"/>
      <c r="G25" s="104"/>
      <c r="H25" s="98"/>
      <c r="I25" s="98"/>
      <c r="J25" s="99"/>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x14ac:dyDescent="0.2">
      <c r="A26" s="102"/>
      <c r="B26" s="98"/>
      <c r="C26" s="104"/>
      <c r="D26" s="104"/>
      <c r="E26" s="104"/>
      <c r="F26" s="98"/>
      <c r="G26" s="98"/>
      <c r="H26" s="98"/>
      <c r="I26" s="98"/>
      <c r="J26" s="99"/>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ht="16" customHeight="1" x14ac:dyDescent="0.2">
      <c r="A27" s="102" t="s">
        <v>80</v>
      </c>
      <c r="B27" s="688" t="s">
        <v>426</v>
      </c>
      <c r="C27" s="688"/>
      <c r="D27" s="688"/>
      <c r="E27" s="688"/>
      <c r="F27" s="688"/>
      <c r="G27" s="688"/>
      <c r="H27" s="688"/>
      <c r="I27" s="688"/>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ht="16" customHeight="1" x14ac:dyDescent="0.2">
      <c r="A28" s="102"/>
      <c r="B28" s="688"/>
      <c r="C28" s="688"/>
      <c r="D28" s="688"/>
      <c r="E28" s="688"/>
      <c r="F28" s="688"/>
      <c r="G28" s="688"/>
      <c r="H28" s="688"/>
      <c r="I28" s="688"/>
      <c r="J28" s="99"/>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ht="16" customHeight="1" x14ac:dyDescent="0.2">
      <c r="A29" s="102"/>
      <c r="B29" s="314"/>
      <c r="C29" s="314"/>
      <c r="D29" s="314"/>
      <c r="E29" s="314"/>
      <c r="F29" s="314"/>
      <c r="G29" s="314"/>
      <c r="H29" s="314"/>
      <c r="I29" s="314"/>
      <c r="J29" s="99"/>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ht="16" customHeight="1" x14ac:dyDescent="0.2">
      <c r="A30" s="347" t="s">
        <v>81</v>
      </c>
      <c r="B30" s="688" t="s">
        <v>429</v>
      </c>
      <c r="C30" s="688"/>
      <c r="D30" s="688"/>
      <c r="E30" s="688"/>
      <c r="F30" s="688"/>
      <c r="G30" s="688"/>
      <c r="H30" s="688"/>
      <c r="I30" s="688"/>
      <c r="J30" s="99"/>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ht="16" customHeight="1" x14ac:dyDescent="0.2">
      <c r="A31" s="102"/>
      <c r="B31" s="688"/>
      <c r="C31" s="688"/>
      <c r="D31" s="688"/>
      <c r="E31" s="688"/>
      <c r="F31" s="688"/>
      <c r="G31" s="688"/>
      <c r="H31" s="688"/>
      <c r="I31" s="688"/>
      <c r="J31" s="99"/>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ht="17" thickBot="1" x14ac:dyDescent="0.25">
      <c r="A32" s="108"/>
      <c r="B32" s="109"/>
      <c r="C32" s="110"/>
      <c r="D32" s="110"/>
      <c r="E32" s="110"/>
      <c r="F32" s="109"/>
      <c r="G32" s="109"/>
      <c r="H32" s="109"/>
      <c r="I32" s="109"/>
      <c r="J32" s="111"/>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x14ac:dyDescent="0.2">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ht="19" x14ac:dyDescent="0.25">
      <c r="A34" s="4" t="s">
        <v>9</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x14ac:dyDescent="0.2">
      <c r="A35" s="8" t="s">
        <v>430</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ht="16" customHeight="1" x14ac:dyDescent="0.2">
      <c r="A36" s="6" t="s">
        <v>8</v>
      </c>
      <c r="B36" s="632" t="s">
        <v>441</v>
      </c>
      <c r="C36" s="632"/>
      <c r="D36" s="632"/>
      <c r="E36" s="632"/>
      <c r="F36" s="632"/>
      <c r="G36" s="632"/>
      <c r="H36" s="632"/>
      <c r="I36" s="632"/>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ht="16" customHeight="1" x14ac:dyDescent="0.2">
      <c r="A37" s="6"/>
      <c r="B37" s="632"/>
      <c r="C37" s="632"/>
      <c r="D37" s="632"/>
      <c r="E37" s="632"/>
      <c r="F37" s="632"/>
      <c r="G37" s="632"/>
      <c r="H37" s="632"/>
      <c r="I37" s="632"/>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ht="16" customHeight="1" x14ac:dyDescent="0.2">
      <c r="A38" s="6"/>
      <c r="B38" s="632"/>
      <c r="C38" s="632"/>
      <c r="D38" s="632"/>
      <c r="E38" s="632"/>
      <c r="F38" s="632"/>
      <c r="G38" s="632"/>
      <c r="H38" s="632"/>
      <c r="I38" s="632"/>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ht="16" customHeight="1" x14ac:dyDescent="0.2">
      <c r="A39" s="6"/>
      <c r="B39" s="54"/>
      <c r="C39" s="54"/>
      <c r="D39" s="54"/>
      <c r="E39" s="54"/>
      <c r="F39" s="54"/>
      <c r="G39" s="54"/>
      <c r="H39" s="54"/>
      <c r="I39" s="54"/>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ht="16" customHeight="1" x14ac:dyDescent="0.2">
      <c r="A40" s="6"/>
      <c r="B40" s="54"/>
      <c r="C40" s="54"/>
      <c r="D40" s="54"/>
      <c r="E40" s="54"/>
      <c r="F40" s="54"/>
      <c r="G40" s="54"/>
      <c r="H40" s="54"/>
      <c r="I40" s="54"/>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ht="16" customHeight="1" x14ac:dyDescent="0.2">
      <c r="A41" s="6"/>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ht="16" customHeight="1" x14ac:dyDescent="0.2">
      <c r="A42" s="6"/>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4" spans="1:49" ht="16" customHeight="1" x14ac:dyDescent="0.2">
      <c r="A44" s="6"/>
      <c r="B44" s="361" t="s">
        <v>36</v>
      </c>
      <c r="C44" s="100"/>
      <c r="D44" s="100"/>
      <c r="E44" s="100"/>
      <c r="F44" s="100"/>
      <c r="G44" s="100"/>
      <c r="H44" s="100"/>
      <c r="I44" s="100"/>
      <c r="J44" s="100"/>
      <c r="K44" s="100"/>
      <c r="L44" s="2"/>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49" ht="16" customHeight="1" x14ac:dyDescent="0.2">
      <c r="A45" s="6"/>
      <c r="B45" s="362" t="s">
        <v>438</v>
      </c>
      <c r="C45" s="100"/>
      <c r="D45" s="100"/>
      <c r="E45" s="100"/>
      <c r="F45" s="100"/>
      <c r="J45" s="100"/>
      <c r="K45" s="100"/>
      <c r="L45" s="2"/>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ht="16" customHeight="1" x14ac:dyDescent="0.2">
      <c r="A46" s="6"/>
      <c r="B46" s="362" t="s">
        <v>439</v>
      </c>
      <c r="C46" s="100"/>
      <c r="D46" s="100"/>
      <c r="E46" s="100"/>
      <c r="F46" s="100"/>
      <c r="G46" s="100"/>
      <c r="H46" s="100"/>
      <c r="I46" s="100"/>
      <c r="J46" s="100"/>
      <c r="K46" s="100"/>
      <c r="L46" s="2"/>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ht="16" customHeight="1" x14ac:dyDescent="0.2">
      <c r="A47" s="6"/>
      <c r="B47" s="362"/>
      <c r="C47" s="100"/>
      <c r="D47" s="100"/>
      <c r="E47" s="100"/>
      <c r="F47" s="100"/>
      <c r="G47" s="100"/>
      <c r="H47" s="100"/>
      <c r="I47" s="100"/>
      <c r="J47" s="100"/>
      <c r="K47" s="100"/>
      <c r="L47" s="2"/>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ht="16" customHeight="1" x14ac:dyDescent="0.2">
      <c r="A48" s="6" t="s">
        <v>7</v>
      </c>
      <c r="B48" s="7" t="s">
        <v>427</v>
      </c>
      <c r="C48" s="7"/>
      <c r="D48" s="7"/>
      <c r="E48" s="7"/>
      <c r="F48" s="7"/>
      <c r="G48" s="7"/>
      <c r="H48" s="7"/>
      <c r="I48" s="7"/>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ht="16" customHeight="1" x14ac:dyDescent="0.2">
      <c r="A49" s="6"/>
      <c r="B49" s="100"/>
      <c r="C49" s="100"/>
      <c r="D49" s="100"/>
      <c r="E49" s="100"/>
      <c r="F49" s="100"/>
      <c r="G49" s="100"/>
      <c r="H49" s="100"/>
      <c r="I49" s="7"/>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ht="16" customHeight="1" x14ac:dyDescent="0.2">
      <c r="A50" s="6"/>
      <c r="B50" s="100"/>
      <c r="C50" s="100"/>
      <c r="D50" s="100"/>
      <c r="E50" s="100"/>
      <c r="G50" s="100"/>
      <c r="H50" s="100"/>
      <c r="I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ht="16" customHeight="1" x14ac:dyDescent="0.2">
      <c r="A51" s="6"/>
      <c r="B51" s="100"/>
      <c r="C51" s="100"/>
      <c r="D51" s="100"/>
      <c r="E51" s="100"/>
      <c r="F51" s="100"/>
      <c r="G51" s="100"/>
      <c r="H51" s="100"/>
      <c r="I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ht="16" customHeight="1" x14ac:dyDescent="0.2">
      <c r="A52" s="6"/>
      <c r="B52" s="7"/>
      <c r="C52" s="7"/>
      <c r="D52" s="7"/>
      <c r="E52" s="7"/>
      <c r="F52" s="7"/>
      <c r="G52" s="7"/>
      <c r="H52" s="7"/>
      <c r="I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ht="16" customHeight="1" x14ac:dyDescent="0.2">
      <c r="A53" s="6"/>
      <c r="B53" s="100"/>
      <c r="C53" s="348" t="s">
        <v>364</v>
      </c>
      <c r="D53" s="349" t="s">
        <v>419</v>
      </c>
      <c r="E53" s="350" t="s">
        <v>421</v>
      </c>
      <c r="F53" s="348" t="s">
        <v>423</v>
      </c>
      <c r="G53" s="350" t="s">
        <v>433</v>
      </c>
      <c r="H53" s="348" t="s">
        <v>435</v>
      </c>
      <c r="I53" s="350" t="s">
        <v>422</v>
      </c>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ht="16" customHeight="1" x14ac:dyDescent="0.2">
      <c r="A54" s="6"/>
      <c r="B54" s="100"/>
      <c r="C54" s="351" t="s">
        <v>10</v>
      </c>
      <c r="D54" s="352" t="s">
        <v>420</v>
      </c>
      <c r="E54" s="353" t="s">
        <v>432</v>
      </c>
      <c r="F54" s="358" t="s">
        <v>424</v>
      </c>
      <c r="G54" s="353" t="s">
        <v>434</v>
      </c>
      <c r="H54" s="358" t="s">
        <v>420</v>
      </c>
      <c r="I54" s="353" t="s">
        <v>436</v>
      </c>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ht="16" customHeight="1" x14ac:dyDescent="0.2">
      <c r="A55" s="6"/>
      <c r="B55" s="100"/>
      <c r="C55" s="354">
        <v>2007</v>
      </c>
      <c r="D55" s="355">
        <f t="shared" ref="D55:D69" si="0">D8</f>
        <v>76875714</v>
      </c>
      <c r="E55" s="356">
        <f t="shared" ref="E55:E69" si="1">COUNTIF(E8:I8,"&gt;"&amp;$D$24)</f>
        <v>2</v>
      </c>
      <c r="F55" s="359">
        <f>SUMIF(E8:I8,"&gt;"&amp;$D$24)</f>
        <v>3810016</v>
      </c>
      <c r="G55" s="356">
        <f>F55-E55*$D$24</f>
        <v>1310016</v>
      </c>
      <c r="H55" s="359">
        <f>D55-G55</f>
        <v>75565698</v>
      </c>
      <c r="I55" s="357">
        <f t="shared" ref="I55:I69" si="2">G55/H55</f>
        <v>1.7336119888682826E-2</v>
      </c>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ht="16" customHeight="1" x14ac:dyDescent="0.2">
      <c r="A56" s="6"/>
      <c r="B56" s="100"/>
      <c r="C56" s="227">
        <v>2008</v>
      </c>
      <c r="D56" s="355">
        <f t="shared" si="0"/>
        <v>60916907</v>
      </c>
      <c r="E56" s="356">
        <f t="shared" si="1"/>
        <v>4</v>
      </c>
      <c r="F56" s="359">
        <f t="shared" ref="F56:F69" si="3">SUMIF(E9:I9,"&gt;"&amp;$D$24)</f>
        <v>6867406</v>
      </c>
      <c r="G56" s="356">
        <f>F56-E56*$D$24</f>
        <v>1867406</v>
      </c>
      <c r="H56" s="359">
        <f t="shared" ref="H56:H69" si="4">D56-G56</f>
        <v>59049501</v>
      </c>
      <c r="I56" s="357">
        <f t="shared" si="2"/>
        <v>3.1624416267294113E-2</v>
      </c>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ht="16" customHeight="1" x14ac:dyDescent="0.2">
      <c r="A57" s="6"/>
      <c r="B57" s="100"/>
      <c r="C57" s="227">
        <v>2009</v>
      </c>
      <c r="D57" s="355">
        <f t="shared" si="0"/>
        <v>41712714</v>
      </c>
      <c r="E57" s="356">
        <f t="shared" si="1"/>
        <v>0</v>
      </c>
      <c r="F57" s="359">
        <f t="shared" si="3"/>
        <v>0</v>
      </c>
      <c r="G57" s="356">
        <f t="shared" ref="G57:G69" si="5">F57-E57*$D$24</f>
        <v>0</v>
      </c>
      <c r="H57" s="359">
        <f>D57-G57</f>
        <v>41712714</v>
      </c>
      <c r="I57" s="357">
        <f t="shared" si="2"/>
        <v>0</v>
      </c>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ht="16" customHeight="1" x14ac:dyDescent="0.2">
      <c r="A58" s="6"/>
      <c r="B58" s="100"/>
      <c r="C58" s="227">
        <v>2010</v>
      </c>
      <c r="D58" s="355">
        <f t="shared" si="0"/>
        <v>63515325</v>
      </c>
      <c r="E58" s="356">
        <f t="shared" si="1"/>
        <v>2</v>
      </c>
      <c r="F58" s="359">
        <f t="shared" si="3"/>
        <v>3350139</v>
      </c>
      <c r="G58" s="356">
        <f t="shared" si="5"/>
        <v>850139</v>
      </c>
      <c r="H58" s="359">
        <f t="shared" si="4"/>
        <v>62665186</v>
      </c>
      <c r="I58" s="357">
        <f t="shared" si="2"/>
        <v>1.356636841387497E-2</v>
      </c>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ht="16" customHeight="1" x14ac:dyDescent="0.2">
      <c r="A59" s="6"/>
      <c r="B59" s="100"/>
      <c r="C59" s="227">
        <v>2011</v>
      </c>
      <c r="D59" s="355">
        <f t="shared" si="0"/>
        <v>53000933</v>
      </c>
      <c r="E59" s="356">
        <f>COUNTIF(E12:I12,"&gt;"&amp;$D$24)</f>
        <v>3</v>
      </c>
      <c r="F59" s="359">
        <f t="shared" si="3"/>
        <v>5088568</v>
      </c>
      <c r="G59" s="356">
        <f t="shared" si="5"/>
        <v>1338568</v>
      </c>
      <c r="H59" s="359">
        <f t="shared" si="4"/>
        <v>51662365</v>
      </c>
      <c r="I59" s="357">
        <f t="shared" si="2"/>
        <v>2.5909924952138758E-2</v>
      </c>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49" ht="16" customHeight="1" x14ac:dyDescent="0.2">
      <c r="A60" s="6"/>
      <c r="B60" s="100"/>
      <c r="C60" s="227">
        <v>2012</v>
      </c>
      <c r="D60" s="355">
        <f t="shared" si="0"/>
        <v>44869468</v>
      </c>
      <c r="E60" s="356">
        <f t="shared" si="1"/>
        <v>1</v>
      </c>
      <c r="F60" s="359">
        <f t="shared" si="3"/>
        <v>1674273</v>
      </c>
      <c r="G60" s="356">
        <f t="shared" si="5"/>
        <v>424273</v>
      </c>
      <c r="H60" s="359">
        <f t="shared" si="4"/>
        <v>44445195</v>
      </c>
      <c r="I60" s="357">
        <f t="shared" si="2"/>
        <v>9.5459812922409279E-3</v>
      </c>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ht="16" customHeight="1" x14ac:dyDescent="0.2">
      <c r="A61" s="6"/>
      <c r="B61" s="100"/>
      <c r="C61" s="227">
        <v>2013</v>
      </c>
      <c r="D61" s="355">
        <f t="shared" si="0"/>
        <v>43260337</v>
      </c>
      <c r="E61" s="356">
        <f t="shared" si="1"/>
        <v>2</v>
      </c>
      <c r="F61" s="359">
        <f t="shared" si="3"/>
        <v>3391113</v>
      </c>
      <c r="G61" s="356">
        <f t="shared" si="5"/>
        <v>891113</v>
      </c>
      <c r="H61" s="359">
        <f t="shared" si="4"/>
        <v>42369224</v>
      </c>
      <c r="I61" s="357">
        <f t="shared" si="2"/>
        <v>2.1032082154726271E-2</v>
      </c>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ht="16" customHeight="1" x14ac:dyDescent="0.2">
      <c r="A62" s="6"/>
      <c r="B62" s="100"/>
      <c r="C62" s="227">
        <v>2014</v>
      </c>
      <c r="D62" s="355">
        <f t="shared" si="0"/>
        <v>61967802</v>
      </c>
      <c r="E62" s="356">
        <f t="shared" si="1"/>
        <v>3</v>
      </c>
      <c r="F62" s="359">
        <f t="shared" si="3"/>
        <v>4027431</v>
      </c>
      <c r="G62" s="356">
        <f t="shared" si="5"/>
        <v>277431</v>
      </c>
      <c r="H62" s="359">
        <f t="shared" si="4"/>
        <v>61690371</v>
      </c>
      <c r="I62" s="357">
        <f t="shared" si="2"/>
        <v>4.4971524000074498E-3</v>
      </c>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ht="16" customHeight="1" x14ac:dyDescent="0.2">
      <c r="A63" s="6"/>
      <c r="B63" s="100"/>
      <c r="C63" s="227">
        <v>2015</v>
      </c>
      <c r="D63" s="355">
        <f t="shared" si="0"/>
        <v>47051055</v>
      </c>
      <c r="E63" s="356">
        <f t="shared" si="1"/>
        <v>4</v>
      </c>
      <c r="F63" s="359">
        <f t="shared" si="3"/>
        <v>7143696</v>
      </c>
      <c r="G63" s="356">
        <f t="shared" si="5"/>
        <v>2143696</v>
      </c>
      <c r="H63" s="359">
        <f>D63-G63</f>
        <v>44907359</v>
      </c>
      <c r="I63" s="357">
        <f t="shared" si="2"/>
        <v>4.7735962384249764E-2</v>
      </c>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ht="16" customHeight="1" x14ac:dyDescent="0.2">
      <c r="A64" s="6"/>
      <c r="B64" s="100"/>
      <c r="C64" s="227">
        <v>2016</v>
      </c>
      <c r="D64" s="355">
        <f t="shared" si="0"/>
        <v>43054299</v>
      </c>
      <c r="E64" s="356">
        <f t="shared" si="1"/>
        <v>1</v>
      </c>
      <c r="F64" s="359">
        <f t="shared" si="3"/>
        <v>1614409</v>
      </c>
      <c r="G64" s="356">
        <f t="shared" si="5"/>
        <v>364409</v>
      </c>
      <c r="H64" s="359">
        <f t="shared" si="4"/>
        <v>42689890</v>
      </c>
      <c r="I64" s="357">
        <f t="shared" si="2"/>
        <v>8.5361897161131128E-3</v>
      </c>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ht="16" customHeight="1" x14ac:dyDescent="0.2">
      <c r="A65" s="6"/>
      <c r="B65" s="100"/>
      <c r="C65" s="227">
        <v>2017</v>
      </c>
      <c r="D65" s="355">
        <f t="shared" si="0"/>
        <v>45806432</v>
      </c>
      <c r="E65" s="356">
        <f t="shared" si="1"/>
        <v>2</v>
      </c>
      <c r="F65" s="359">
        <f t="shared" si="3"/>
        <v>3063120</v>
      </c>
      <c r="G65" s="356">
        <f t="shared" si="5"/>
        <v>563120</v>
      </c>
      <c r="H65" s="359">
        <f t="shared" si="4"/>
        <v>45243312</v>
      </c>
      <c r="I65" s="357">
        <f t="shared" si="2"/>
        <v>1.2446480487546978E-2</v>
      </c>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ht="16" customHeight="1" x14ac:dyDescent="0.2">
      <c r="A66" s="6"/>
      <c r="B66" s="100"/>
      <c r="C66" s="227">
        <v>2018</v>
      </c>
      <c r="D66" s="355">
        <f t="shared" si="0"/>
        <v>46417329</v>
      </c>
      <c r="E66" s="356">
        <f t="shared" si="1"/>
        <v>1</v>
      </c>
      <c r="F66" s="359">
        <f t="shared" si="3"/>
        <v>1496189</v>
      </c>
      <c r="G66" s="356">
        <f t="shared" si="5"/>
        <v>246189</v>
      </c>
      <c r="H66" s="359">
        <f t="shared" si="4"/>
        <v>46171140</v>
      </c>
      <c r="I66" s="357">
        <f t="shared" si="2"/>
        <v>5.3320970632304079E-3</v>
      </c>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ht="16" customHeight="1" x14ac:dyDescent="0.2">
      <c r="A67" s="6"/>
      <c r="B67" s="100"/>
      <c r="C67" s="227">
        <v>2019</v>
      </c>
      <c r="D67" s="355">
        <f t="shared" si="0"/>
        <v>45572683</v>
      </c>
      <c r="E67" s="356">
        <f t="shared" si="1"/>
        <v>0</v>
      </c>
      <c r="F67" s="359">
        <f t="shared" si="3"/>
        <v>0</v>
      </c>
      <c r="G67" s="356">
        <f t="shared" si="5"/>
        <v>0</v>
      </c>
      <c r="H67" s="359">
        <f t="shared" si="4"/>
        <v>45572683</v>
      </c>
      <c r="I67" s="357">
        <f t="shared" si="2"/>
        <v>0</v>
      </c>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ht="16" customHeight="1" x14ac:dyDescent="0.2">
      <c r="A68" s="6"/>
      <c r="B68" s="100"/>
      <c r="C68" s="227">
        <v>2020</v>
      </c>
      <c r="D68" s="355">
        <f t="shared" si="0"/>
        <v>46415447</v>
      </c>
      <c r="E68" s="356">
        <f t="shared" si="1"/>
        <v>2</v>
      </c>
      <c r="F68" s="359">
        <f t="shared" si="3"/>
        <v>2553748</v>
      </c>
      <c r="G68" s="356">
        <f t="shared" si="5"/>
        <v>53748</v>
      </c>
      <c r="H68" s="359">
        <f t="shared" si="4"/>
        <v>46361699</v>
      </c>
      <c r="I68" s="357">
        <f t="shared" si="2"/>
        <v>1.1593190318586039E-3</v>
      </c>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ht="16" customHeight="1" x14ac:dyDescent="0.2">
      <c r="A69" s="6"/>
      <c r="B69" s="100"/>
      <c r="C69" s="227">
        <v>2021</v>
      </c>
      <c r="D69" s="355">
        <f t="shared" si="0"/>
        <v>40037115</v>
      </c>
      <c r="E69" s="356">
        <f t="shared" si="1"/>
        <v>2</v>
      </c>
      <c r="F69" s="359">
        <f t="shared" si="3"/>
        <v>2857670</v>
      </c>
      <c r="G69" s="356">
        <f t="shared" si="5"/>
        <v>357670</v>
      </c>
      <c r="H69" s="359">
        <f t="shared" si="4"/>
        <v>39679445</v>
      </c>
      <c r="I69" s="357">
        <f t="shared" si="2"/>
        <v>9.0139869647874356E-3</v>
      </c>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ht="16" customHeight="1" x14ac:dyDescent="0.2">
      <c r="A70" s="6"/>
      <c r="B70" s="100"/>
      <c r="C70" s="364"/>
      <c r="D70" s="365"/>
      <c r="E70" s="356"/>
      <c r="F70" s="356"/>
      <c r="G70" s="356"/>
      <c r="H70" s="356"/>
      <c r="I70" s="357"/>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ht="16" customHeight="1" x14ac:dyDescent="0.2">
      <c r="A71" s="6" t="s">
        <v>6</v>
      </c>
      <c r="B71" s="632" t="s">
        <v>428</v>
      </c>
      <c r="C71" s="632"/>
      <c r="D71" s="632"/>
      <c r="E71" s="632"/>
      <c r="F71" s="632"/>
      <c r="G71" s="632"/>
      <c r="H71" s="632"/>
      <c r="I71" s="632"/>
      <c r="L71" s="2"/>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ht="16" customHeight="1" x14ac:dyDescent="0.2">
      <c r="A72" s="6"/>
      <c r="B72" s="632"/>
      <c r="C72" s="632"/>
      <c r="D72" s="632"/>
      <c r="E72" s="632"/>
      <c r="F72" s="632"/>
      <c r="G72" s="632"/>
      <c r="H72" s="632"/>
      <c r="I72" s="632"/>
      <c r="L72" s="2"/>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ht="16" customHeight="1" thickBot="1" x14ac:dyDescent="0.25">
      <c r="A73" s="6"/>
      <c r="B73" s="100"/>
      <c r="C73" s="100"/>
      <c r="D73" s="100"/>
      <c r="E73" s="100"/>
      <c r="F73" s="100"/>
      <c r="G73" s="100"/>
      <c r="H73" s="100"/>
      <c r="I73" s="100"/>
      <c r="L73" s="2"/>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ht="16" customHeight="1" thickBot="1" x14ac:dyDescent="0.25">
      <c r="A74" s="6"/>
      <c r="B74" s="100"/>
      <c r="C74" s="100"/>
      <c r="D74" s="100"/>
      <c r="E74" s="100"/>
      <c r="G74" s="363" t="s">
        <v>437</v>
      </c>
      <c r="H74" s="215"/>
      <c r="I74" s="366">
        <f>1+SUM(G55:G69)/SUM(H55:H69)</f>
        <v>1.0142544420774307</v>
      </c>
      <c r="L74" s="2"/>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ht="16" customHeight="1" x14ac:dyDescent="0.2">
      <c r="A75" s="6"/>
      <c r="B75" s="100"/>
      <c r="C75" s="100"/>
      <c r="D75" s="100"/>
      <c r="E75" s="100"/>
      <c r="F75" s="100"/>
      <c r="G75" s="100"/>
      <c r="H75" s="100"/>
      <c r="I75" s="100"/>
      <c r="L75" s="2"/>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ht="16" customHeight="1" x14ac:dyDescent="0.2">
      <c r="A76" s="6"/>
      <c r="C76" s="100"/>
      <c r="D76" s="100"/>
      <c r="E76"/>
      <c r="F76" s="100"/>
      <c r="G76" s="100"/>
      <c r="H76" s="100"/>
      <c r="I76" s="100"/>
      <c r="L76" s="2"/>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ht="16" customHeight="1" x14ac:dyDescent="0.2">
      <c r="A77" s="6"/>
      <c r="C77" s="100"/>
      <c r="D77" s="100"/>
      <c r="E77"/>
      <c r="F77" s="100"/>
      <c r="G77" s="100"/>
      <c r="H77" s="100"/>
      <c r="I77" s="100"/>
      <c r="L77" s="2"/>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ht="16" customHeight="1" x14ac:dyDescent="0.2">
      <c r="A78" s="8" t="s">
        <v>431</v>
      </c>
      <c r="C78" s="100"/>
      <c r="D78" s="100"/>
      <c r="E78"/>
      <c r="F78" s="100"/>
      <c r="G78" s="100"/>
      <c r="H78" s="100"/>
      <c r="I78" s="100"/>
      <c r="L78" s="2"/>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ht="16" customHeight="1" x14ac:dyDescent="0.2">
      <c r="A79" s="6" t="s">
        <v>5</v>
      </c>
      <c r="B79" s="632" t="s">
        <v>444</v>
      </c>
      <c r="C79" s="632"/>
      <c r="D79" s="632"/>
      <c r="E79" s="632"/>
      <c r="F79" s="632"/>
      <c r="G79" s="632"/>
      <c r="H79" s="632"/>
      <c r="I79" s="632"/>
      <c r="J79" s="100"/>
      <c r="K79" s="100"/>
      <c r="L79" s="2"/>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ht="16" customHeight="1" x14ac:dyDescent="0.2">
      <c r="A80" s="6"/>
      <c r="B80" s="632"/>
      <c r="C80" s="632"/>
      <c r="D80" s="632"/>
      <c r="E80" s="632"/>
      <c r="F80" s="632"/>
      <c r="G80" s="632"/>
      <c r="H80" s="632"/>
      <c r="I80" s="632"/>
      <c r="J80" s="100"/>
      <c r="K80" s="100"/>
      <c r="L80" s="2"/>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49" ht="16" customHeight="1" x14ac:dyDescent="0.2">
      <c r="A81" s="6"/>
      <c r="B81" s="100"/>
      <c r="C81" s="100"/>
      <c r="D81" s="100"/>
      <c r="E81" s="100"/>
      <c r="F81" s="100"/>
      <c r="G81" s="100"/>
      <c r="H81" s="100"/>
      <c r="I81" s="100"/>
      <c r="J81" s="100"/>
      <c r="K81" s="100"/>
      <c r="L81" s="2"/>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49" ht="16" customHeight="1" x14ac:dyDescent="0.2">
      <c r="A82" s="6"/>
      <c r="B82" s="100"/>
      <c r="C82" s="100"/>
      <c r="D82" s="100"/>
      <c r="E82" s="100"/>
      <c r="G82" s="100"/>
      <c r="H82" s="100"/>
      <c r="I82" s="100"/>
      <c r="J82" s="100"/>
      <c r="K82" s="100"/>
      <c r="L82" s="2"/>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49" ht="16" customHeight="1" thickBot="1" x14ac:dyDescent="0.25">
      <c r="A83" s="6"/>
      <c r="B83" s="100"/>
      <c r="C83" s="100"/>
      <c r="D83" s="100"/>
      <c r="E83" s="100"/>
      <c r="F83" s="100"/>
      <c r="G83" s="100"/>
      <c r="H83" s="100"/>
      <c r="I83" s="100"/>
      <c r="J83" s="100"/>
      <c r="K83" s="100"/>
      <c r="L83" s="2"/>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49" ht="16" customHeight="1" x14ac:dyDescent="0.2">
      <c r="A84" s="6"/>
      <c r="B84" s="100"/>
      <c r="C84" s="230"/>
      <c r="D84" s="100"/>
      <c r="E84" s="100"/>
      <c r="F84" s="369" t="s">
        <v>420</v>
      </c>
      <c r="G84" s="100"/>
      <c r="H84" s="100"/>
      <c r="I84" s="100"/>
      <c r="J84" s="100"/>
      <c r="K84" s="100"/>
      <c r="L84" s="2"/>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49" ht="16" customHeight="1" x14ac:dyDescent="0.2">
      <c r="A85" s="6"/>
      <c r="B85" s="100"/>
      <c r="C85" s="348" t="s">
        <v>364</v>
      </c>
      <c r="D85" s="350" t="s">
        <v>435</v>
      </c>
      <c r="E85" s="360" t="s">
        <v>442</v>
      </c>
      <c r="F85" s="370" t="s">
        <v>443</v>
      </c>
      <c r="G85" s="100"/>
      <c r="H85" s="100"/>
      <c r="I85" s="100"/>
      <c r="J85" s="100"/>
      <c r="K85" s="100"/>
      <c r="L85" s="2"/>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49" ht="16" customHeight="1" x14ac:dyDescent="0.2">
      <c r="A86" s="6"/>
      <c r="B86" s="100"/>
      <c r="C86" s="351" t="s">
        <v>10</v>
      </c>
      <c r="D86" s="353" t="s">
        <v>420</v>
      </c>
      <c r="E86" s="368" t="s">
        <v>170</v>
      </c>
      <c r="F86" s="371" t="s">
        <v>424</v>
      </c>
      <c r="G86" s="100"/>
      <c r="H86" s="100"/>
      <c r="I86" s="100"/>
      <c r="J86" s="100"/>
      <c r="K86" s="100"/>
      <c r="L86" s="2"/>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49" ht="16" customHeight="1" x14ac:dyDescent="0.2">
      <c r="A87" s="6"/>
      <c r="B87" s="100"/>
      <c r="C87" s="354">
        <f>C18</f>
        <v>2017</v>
      </c>
      <c r="D87" s="367">
        <f>H65</f>
        <v>45243312</v>
      </c>
      <c r="E87" s="239">
        <f>$I$74</f>
        <v>1.0142544420774307</v>
      </c>
      <c r="F87" s="372">
        <f>D87*E87</f>
        <v>45888230.170295127</v>
      </c>
      <c r="G87" s="100"/>
      <c r="H87" s="100"/>
      <c r="I87" s="100"/>
      <c r="J87" s="100"/>
      <c r="K87" s="100"/>
      <c r="L87" s="2"/>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49" ht="16" customHeight="1" x14ac:dyDescent="0.2">
      <c r="A88" s="6"/>
      <c r="B88" s="100"/>
      <c r="C88" s="227">
        <f t="shared" ref="C88:C91" si="6">C19</f>
        <v>2018</v>
      </c>
      <c r="D88" s="367">
        <f t="shared" ref="D88:D91" si="7">H66</f>
        <v>46171140</v>
      </c>
      <c r="E88" s="239">
        <f t="shared" ref="E88:E91" si="8">$I$74</f>
        <v>1.0142544420774307</v>
      </c>
      <c r="F88" s="372">
        <f t="shared" ref="F88:F91" si="9">D88*E88</f>
        <v>46829283.840778939</v>
      </c>
      <c r="G88" s="100"/>
      <c r="H88" s="100"/>
      <c r="I88" s="100"/>
      <c r="J88" s="100"/>
      <c r="K88" s="100"/>
      <c r="L88" s="2"/>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49" ht="16" customHeight="1" x14ac:dyDescent="0.2">
      <c r="A89" s="6"/>
      <c r="B89" s="100"/>
      <c r="C89" s="227">
        <f t="shared" si="6"/>
        <v>2019</v>
      </c>
      <c r="D89" s="367">
        <f t="shared" si="7"/>
        <v>45572683</v>
      </c>
      <c r="E89" s="239">
        <f t="shared" si="8"/>
        <v>1.0142544420774307</v>
      </c>
      <c r="F89" s="372">
        <f t="shared" si="9"/>
        <v>46222296.170136608</v>
      </c>
      <c r="G89" s="100"/>
      <c r="H89" s="100"/>
      <c r="I89" s="100"/>
      <c r="J89" s="100"/>
      <c r="K89" s="100"/>
      <c r="L89" s="2"/>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49" ht="16" customHeight="1" x14ac:dyDescent="0.2">
      <c r="A90" s="6"/>
      <c r="B90" s="100"/>
      <c r="C90" s="227">
        <f t="shared" si="6"/>
        <v>2020</v>
      </c>
      <c r="D90" s="367">
        <f t="shared" si="7"/>
        <v>46361699</v>
      </c>
      <c r="E90" s="239">
        <f t="shared" si="8"/>
        <v>1.0142544420774307</v>
      </c>
      <c r="F90" s="372">
        <f t="shared" si="9"/>
        <v>47022559.153006777</v>
      </c>
      <c r="G90" s="100"/>
      <c r="H90" s="100"/>
      <c r="I90" s="100"/>
      <c r="J90" s="100"/>
      <c r="K90" s="100"/>
      <c r="L90" s="2"/>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row>
    <row r="91" spans="1:49" ht="16" customHeight="1" thickBot="1" x14ac:dyDescent="0.25">
      <c r="A91" s="6"/>
      <c r="B91" s="100"/>
      <c r="C91" s="227">
        <f t="shared" si="6"/>
        <v>2021</v>
      </c>
      <c r="D91" s="367">
        <f t="shared" si="7"/>
        <v>39679445</v>
      </c>
      <c r="E91" s="239">
        <f t="shared" si="8"/>
        <v>1.0142544420774307</v>
      </c>
      <c r="F91" s="373">
        <f t="shared" si="9"/>
        <v>40245053.350417092</v>
      </c>
      <c r="G91" s="100"/>
      <c r="H91" s="100"/>
      <c r="I91" s="100"/>
      <c r="J91" s="100"/>
      <c r="K91" s="100"/>
      <c r="L91" s="2"/>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row>
    <row r="92" spans="1:49" x14ac:dyDescent="0.2">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row>
    <row r="93" spans="1:49" ht="19" x14ac:dyDescent="0.25">
      <c r="A93" s="4" t="s">
        <v>3</v>
      </c>
      <c r="B93" s="100"/>
      <c r="C93" s="100"/>
      <c r="D93" s="100"/>
      <c r="E93" s="100"/>
      <c r="F93" s="100"/>
      <c r="G93" s="100"/>
      <c r="H93" s="100"/>
      <c r="I93" s="100"/>
      <c r="J93" s="100"/>
      <c r="K93" s="100"/>
      <c r="L93" s="2"/>
      <c r="M93" s="2"/>
      <c r="N93" s="2"/>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row>
    <row r="94" spans="1:49" ht="16" customHeight="1" x14ac:dyDescent="0.25">
      <c r="A94" s="4"/>
      <c r="B94" s="709" t="s">
        <v>449</v>
      </c>
      <c r="C94" s="709"/>
      <c r="D94" s="709"/>
      <c r="E94" s="709"/>
      <c r="F94" s="709"/>
      <c r="G94" s="709"/>
      <c r="H94" s="709"/>
      <c r="I94" s="709"/>
      <c r="J94" s="100"/>
      <c r="K94" s="100"/>
      <c r="L94" s="2"/>
      <c r="M94" s="2"/>
      <c r="N94" s="2"/>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row>
    <row r="95" spans="1:49" ht="16" customHeight="1" x14ac:dyDescent="0.25">
      <c r="A95" s="4"/>
      <c r="B95" s="709"/>
      <c r="C95" s="709"/>
      <c r="D95" s="709"/>
      <c r="E95" s="709"/>
      <c r="F95" s="709"/>
      <c r="G95" s="709"/>
      <c r="H95" s="709"/>
      <c r="I95" s="709"/>
      <c r="J95" s="100"/>
      <c r="K95" s="100"/>
      <c r="L95" s="2"/>
      <c r="M95" s="2"/>
      <c r="N95" s="2"/>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row>
    <row r="96" spans="1:49" ht="16" customHeight="1" x14ac:dyDescent="0.25">
      <c r="A96" s="4"/>
      <c r="B96" s="709"/>
      <c r="C96" s="709"/>
      <c r="D96" s="709"/>
      <c r="E96" s="709"/>
      <c r="F96" s="709"/>
      <c r="G96" s="709"/>
      <c r="H96" s="709"/>
      <c r="I96" s="709"/>
      <c r="J96" s="100"/>
      <c r="K96" s="100"/>
      <c r="L96" s="2"/>
      <c r="M96" s="2"/>
      <c r="N96" s="2"/>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row>
    <row r="97" spans="1:49" ht="16" customHeight="1" x14ac:dyDescent="0.25">
      <c r="A97" s="4"/>
      <c r="B97" s="709"/>
      <c r="C97" s="709"/>
      <c r="D97" s="709"/>
      <c r="E97" s="709"/>
      <c r="F97" s="709"/>
      <c r="G97" s="709"/>
      <c r="H97" s="709"/>
      <c r="I97" s="709"/>
      <c r="J97" s="100"/>
      <c r="K97" s="100"/>
      <c r="L97" s="2"/>
      <c r="M97" s="2"/>
      <c r="N97" s="2"/>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row>
    <row r="98" spans="1:49" ht="16" customHeight="1" x14ac:dyDescent="0.25">
      <c r="A98" s="4"/>
      <c r="B98" s="709"/>
      <c r="C98" s="709"/>
      <c r="D98" s="709"/>
      <c r="E98" s="709"/>
      <c r="F98" s="709"/>
      <c r="G98" s="709"/>
      <c r="H98" s="709"/>
      <c r="I98" s="709"/>
      <c r="J98" s="100"/>
      <c r="K98" s="100"/>
      <c r="L98" s="2"/>
      <c r="M98" s="2"/>
      <c r="N98" s="2"/>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row>
    <row r="99" spans="1:49" ht="16" customHeight="1" x14ac:dyDescent="0.25">
      <c r="A99" s="4"/>
      <c r="B99" s="709"/>
      <c r="C99" s="709"/>
      <c r="D99" s="709"/>
      <c r="E99" s="709"/>
      <c r="F99" s="709"/>
      <c r="G99" s="709"/>
      <c r="H99" s="709"/>
      <c r="I99" s="709"/>
      <c r="J99" s="100"/>
      <c r="K99" s="100"/>
      <c r="L99" s="2"/>
      <c r="M99" s="2"/>
      <c r="N99" s="2"/>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row>
    <row r="100" spans="1:49" ht="16" customHeight="1" x14ac:dyDescent="0.25">
      <c r="A100" s="4"/>
      <c r="B100" s="709"/>
      <c r="C100" s="709"/>
      <c r="D100" s="709"/>
      <c r="E100" s="709"/>
      <c r="F100" s="709"/>
      <c r="G100" s="709"/>
      <c r="H100" s="709"/>
      <c r="I100" s="709"/>
      <c r="J100" s="100"/>
      <c r="K100" s="100"/>
      <c r="L100" s="2"/>
      <c r="M100" s="2"/>
      <c r="N100" s="2"/>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row>
    <row r="101" spans="1:49" ht="16" customHeight="1" x14ac:dyDescent="0.25">
      <c r="A101" s="4"/>
      <c r="B101" s="709"/>
      <c r="C101" s="709"/>
      <c r="D101" s="709"/>
      <c r="E101" s="709"/>
      <c r="F101" s="709"/>
      <c r="G101" s="709"/>
      <c r="H101" s="709"/>
      <c r="I101" s="709"/>
      <c r="J101" s="100"/>
      <c r="K101" s="100"/>
      <c r="L101" s="2"/>
      <c r="M101" s="2"/>
      <c r="N101" s="2"/>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row>
    <row r="102" spans="1:49" ht="16" customHeight="1" x14ac:dyDescent="0.25">
      <c r="A102" s="4"/>
      <c r="B102" s="709"/>
      <c r="C102" s="709"/>
      <c r="D102" s="709"/>
      <c r="E102" s="709"/>
      <c r="F102" s="709"/>
      <c r="G102" s="709"/>
      <c r="H102" s="709"/>
      <c r="I102" s="709"/>
      <c r="J102" s="100"/>
      <c r="K102" s="100"/>
      <c r="L102" s="2"/>
      <c r="M102" s="2"/>
      <c r="N102" s="2"/>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row>
    <row r="103" spans="1:49" ht="16" customHeight="1" x14ac:dyDescent="0.25">
      <c r="A103" s="4"/>
      <c r="B103" s="709"/>
      <c r="C103" s="709"/>
      <c r="D103" s="709"/>
      <c r="E103" s="709"/>
      <c r="F103" s="709"/>
      <c r="G103" s="709"/>
      <c r="H103" s="709"/>
      <c r="I103" s="709"/>
      <c r="J103" s="100"/>
      <c r="K103" s="100"/>
      <c r="L103" s="2"/>
      <c r="M103" s="2"/>
      <c r="N103" s="2"/>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row>
    <row r="104" spans="1:49" ht="16" customHeight="1" x14ac:dyDescent="0.25">
      <c r="A104" s="4"/>
      <c r="B104" s="709"/>
      <c r="C104" s="709"/>
      <c r="D104" s="709"/>
      <c r="E104" s="709"/>
      <c r="F104" s="709"/>
      <c r="G104" s="709"/>
      <c r="H104" s="709"/>
      <c r="I104" s="709"/>
      <c r="J104" s="100"/>
      <c r="K104" s="100"/>
      <c r="L104" s="2"/>
      <c r="M104" s="2"/>
      <c r="N104" s="2"/>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row>
    <row r="105" spans="1:49" ht="16" customHeight="1" x14ac:dyDescent="0.25">
      <c r="A105" s="4"/>
      <c r="B105" s="709"/>
      <c r="C105" s="709"/>
      <c r="D105" s="709"/>
      <c r="E105" s="709"/>
      <c r="F105" s="709"/>
      <c r="G105" s="709"/>
      <c r="H105" s="709"/>
      <c r="I105" s="709"/>
      <c r="J105" s="100"/>
      <c r="K105" s="100"/>
      <c r="L105" s="2"/>
      <c r="M105" s="2"/>
      <c r="N105" s="2"/>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row>
    <row r="106" spans="1:49" ht="16" customHeight="1" x14ac:dyDescent="0.25">
      <c r="A106" s="4"/>
      <c r="B106" s="709"/>
      <c r="C106" s="709"/>
      <c r="D106" s="709"/>
      <c r="E106" s="709"/>
      <c r="F106" s="709"/>
      <c r="G106" s="709"/>
      <c r="H106" s="709"/>
      <c r="I106" s="709"/>
      <c r="J106" s="100"/>
      <c r="K106" s="100"/>
      <c r="L106" s="2"/>
      <c r="M106" s="2"/>
      <c r="N106" s="2"/>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row>
    <row r="107" spans="1:49" ht="16" customHeight="1" x14ac:dyDescent="0.25">
      <c r="A107" s="4"/>
      <c r="B107" s="709"/>
      <c r="C107" s="709"/>
      <c r="D107" s="709"/>
      <c r="E107" s="709"/>
      <c r="F107" s="709"/>
      <c r="G107" s="709"/>
      <c r="H107" s="709"/>
      <c r="I107" s="709"/>
      <c r="J107" s="100"/>
      <c r="K107" s="100"/>
      <c r="L107" s="2"/>
      <c r="M107" s="2"/>
      <c r="N107" s="2"/>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row>
    <row r="108" spans="1:49" ht="16" customHeight="1" x14ac:dyDescent="0.25">
      <c r="A108" s="4"/>
      <c r="B108" s="709"/>
      <c r="C108" s="709"/>
      <c r="D108" s="709"/>
      <c r="E108" s="709"/>
      <c r="F108" s="709"/>
      <c r="G108" s="709"/>
      <c r="H108" s="709"/>
      <c r="I108" s="709"/>
      <c r="J108" s="100"/>
      <c r="K108" s="100"/>
      <c r="L108" s="2"/>
      <c r="M108" s="2"/>
      <c r="N108" s="2"/>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row>
    <row r="109" spans="1:49" ht="16" customHeight="1" x14ac:dyDescent="0.25">
      <c r="A109" s="4"/>
      <c r="B109" s="709"/>
      <c r="C109" s="709"/>
      <c r="D109" s="709"/>
      <c r="E109" s="709"/>
      <c r="F109" s="709"/>
      <c r="G109" s="709"/>
      <c r="H109" s="709"/>
      <c r="I109" s="709"/>
      <c r="J109" s="100"/>
      <c r="K109" s="100"/>
      <c r="L109" s="2"/>
      <c r="M109" s="2"/>
      <c r="N109" s="2"/>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row>
    <row r="110" spans="1:49" ht="16" customHeight="1" x14ac:dyDescent="0.25">
      <c r="A110" s="4"/>
      <c r="B110" s="709"/>
      <c r="C110" s="709"/>
      <c r="D110" s="709"/>
      <c r="E110" s="709"/>
      <c r="F110" s="709"/>
      <c r="G110" s="709"/>
      <c r="H110" s="709"/>
      <c r="I110" s="709"/>
      <c r="J110" s="100"/>
      <c r="K110" s="100"/>
      <c r="L110" s="2"/>
      <c r="M110" s="2"/>
      <c r="N110" s="2"/>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row>
    <row r="111" spans="1:49" ht="16" customHeight="1" x14ac:dyDescent="0.25">
      <c r="A111" s="4"/>
      <c r="B111" s="709"/>
      <c r="C111" s="709"/>
      <c r="D111" s="709"/>
      <c r="E111" s="709"/>
      <c r="F111" s="709"/>
      <c r="G111" s="709"/>
      <c r="H111" s="709"/>
      <c r="I111" s="709"/>
      <c r="J111" s="100"/>
      <c r="K111" s="100"/>
      <c r="L111" s="2"/>
      <c r="M111" s="2"/>
      <c r="N111" s="2"/>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row>
    <row r="112" spans="1:49" ht="16" customHeight="1" x14ac:dyDescent="0.25">
      <c r="A112" s="4"/>
      <c r="B112" s="709"/>
      <c r="C112" s="709"/>
      <c r="D112" s="709"/>
      <c r="E112" s="709"/>
      <c r="F112" s="709"/>
      <c r="G112" s="709"/>
      <c r="H112" s="709"/>
      <c r="I112" s="709"/>
      <c r="J112" s="100"/>
      <c r="K112" s="100"/>
      <c r="L112" s="2"/>
      <c r="M112" s="2"/>
      <c r="N112" s="2"/>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row>
    <row r="113" spans="1:65" ht="16" customHeight="1" x14ac:dyDescent="0.25">
      <c r="A113" s="4"/>
      <c r="B113" s="375"/>
      <c r="C113" s="375"/>
      <c r="D113" s="375"/>
      <c r="E113" s="375"/>
      <c r="F113" s="375"/>
      <c r="G113" s="375"/>
      <c r="H113" s="375"/>
      <c r="I113" s="375"/>
      <c r="J113" s="100"/>
      <c r="K113" s="100"/>
      <c r="L113" s="2"/>
      <c r="M113" s="2"/>
      <c r="N113" s="2"/>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row>
    <row r="114" spans="1:65" ht="16" customHeight="1" x14ac:dyDescent="0.25">
      <c r="A114" s="4"/>
      <c r="B114" s="5" t="s">
        <v>447</v>
      </c>
      <c r="C114" s="100"/>
      <c r="D114" s="100"/>
      <c r="E114" s="100"/>
      <c r="F114" s="100"/>
      <c r="G114" s="100"/>
      <c r="H114" s="100"/>
      <c r="I114" s="100"/>
      <c r="J114" s="100"/>
      <c r="K114" s="100"/>
      <c r="L114" s="2"/>
      <c r="M114" s="2"/>
      <c r="N114" s="2"/>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row>
    <row r="115" spans="1:65" ht="18" customHeight="1" x14ac:dyDescent="0.25">
      <c r="A115" s="4"/>
      <c r="B115" s="709" t="s">
        <v>450</v>
      </c>
      <c r="C115" s="646"/>
      <c r="D115" s="646"/>
      <c r="E115" s="646"/>
      <c r="F115" s="646"/>
      <c r="G115" s="646"/>
      <c r="H115" s="646"/>
      <c r="I115" s="646"/>
      <c r="J115" s="100"/>
      <c r="K115" s="100"/>
      <c r="L115" s="2"/>
      <c r="M115" s="2"/>
      <c r="N115" s="2"/>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row>
    <row r="116" spans="1:65" ht="16" customHeight="1" x14ac:dyDescent="0.25">
      <c r="A116" s="4"/>
      <c r="B116" s="646"/>
      <c r="C116" s="646"/>
      <c r="D116" s="646"/>
      <c r="E116" s="646"/>
      <c r="F116" s="646"/>
      <c r="G116" s="646"/>
      <c r="H116" s="646"/>
      <c r="I116" s="646"/>
      <c r="J116" s="100"/>
      <c r="K116" s="100"/>
      <c r="L116" s="2"/>
      <c r="M116" s="2"/>
      <c r="N116" s="2"/>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row>
    <row r="117" spans="1:65" ht="16" customHeight="1" x14ac:dyDescent="0.25">
      <c r="A117" s="4"/>
      <c r="B117" s="646"/>
      <c r="C117" s="646"/>
      <c r="D117" s="646"/>
      <c r="E117" s="646"/>
      <c r="F117" s="646"/>
      <c r="G117" s="646"/>
      <c r="H117" s="646"/>
      <c r="I117" s="646"/>
      <c r="J117" s="100"/>
      <c r="K117" s="100"/>
      <c r="L117" s="2"/>
      <c r="M117" s="2"/>
      <c r="N117" s="2"/>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row>
    <row r="118" spans="1:65" ht="16" customHeight="1" x14ac:dyDescent="0.25">
      <c r="A118" s="4"/>
      <c r="B118" s="646"/>
      <c r="C118" s="646"/>
      <c r="D118" s="646"/>
      <c r="E118" s="646"/>
      <c r="F118" s="646"/>
      <c r="G118" s="646"/>
      <c r="H118" s="646"/>
      <c r="I118" s="646"/>
      <c r="J118" s="100"/>
      <c r="K118" s="100"/>
      <c r="L118" s="2"/>
      <c r="M118" s="2"/>
      <c r="N118" s="2"/>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row>
    <row r="119" spans="1:65" ht="16" customHeight="1" x14ac:dyDescent="0.25">
      <c r="A119" s="4"/>
      <c r="B119" s="646"/>
      <c r="C119" s="646"/>
      <c r="D119" s="646"/>
      <c r="E119" s="646"/>
      <c r="F119" s="646"/>
      <c r="G119" s="646"/>
      <c r="H119" s="646"/>
      <c r="I119" s="646"/>
      <c r="J119" s="100"/>
      <c r="K119" s="100"/>
      <c r="L119" s="2"/>
      <c r="M119" s="2"/>
      <c r="N119" s="2"/>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row>
    <row r="120" spans="1:65" ht="16" customHeight="1" x14ac:dyDescent="0.25">
      <c r="A120" s="4"/>
      <c r="B120" s="646"/>
      <c r="C120" s="646"/>
      <c r="D120" s="646"/>
      <c r="E120" s="646"/>
      <c r="F120" s="646"/>
      <c r="G120" s="646"/>
      <c r="H120" s="646"/>
      <c r="I120" s="646"/>
      <c r="J120" s="100"/>
      <c r="K120" s="100"/>
      <c r="L120" s="2"/>
      <c r="M120" s="2"/>
      <c r="N120" s="2"/>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row>
    <row r="121" spans="1:65" ht="16" customHeight="1" x14ac:dyDescent="0.25">
      <c r="A121" s="4"/>
      <c r="B121" s="100"/>
      <c r="C121" s="100"/>
      <c r="D121" s="100"/>
      <c r="E121" s="100"/>
      <c r="F121" s="100"/>
      <c r="G121" s="100"/>
      <c r="H121" s="100"/>
      <c r="I121" s="100"/>
      <c r="J121" s="100"/>
      <c r="K121" s="100"/>
      <c r="L121" s="2"/>
      <c r="M121" s="2"/>
      <c r="N121" s="2"/>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row>
    <row r="122" spans="1:65" ht="16" customHeight="1" x14ac:dyDescent="0.25">
      <c r="A122" s="100"/>
      <c r="B122" s="5" t="s">
        <v>445</v>
      </c>
      <c r="C122" s="100"/>
      <c r="D122" s="100"/>
      <c r="E122" s="100"/>
      <c r="F122" s="100"/>
      <c r="G122" s="100"/>
      <c r="H122" s="100"/>
      <c r="I122" s="100"/>
      <c r="J122" s="100"/>
      <c r="K122" s="100"/>
      <c r="L122" s="2"/>
      <c r="M122" s="2"/>
      <c r="N122" s="2"/>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row>
    <row r="123" spans="1:65" ht="16" customHeight="1" x14ac:dyDescent="0.2">
      <c r="A123" s="2"/>
      <c r="B123" s="709" t="s">
        <v>451</v>
      </c>
      <c r="C123" s="646"/>
      <c r="D123" s="646"/>
      <c r="E123" s="646"/>
      <c r="F123" s="646"/>
      <c r="G123" s="646"/>
      <c r="H123" s="646"/>
      <c r="I123" s="646"/>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1:65" x14ac:dyDescent="0.2">
      <c r="A124" s="2"/>
      <c r="B124" s="646"/>
      <c r="C124" s="646"/>
      <c r="D124" s="646"/>
      <c r="E124" s="646"/>
      <c r="F124" s="646"/>
      <c r="G124" s="646"/>
      <c r="H124" s="646"/>
      <c r="I124" s="646"/>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1:65" x14ac:dyDescent="0.2">
      <c r="A125" s="2"/>
      <c r="B125" s="646"/>
      <c r="C125" s="646"/>
      <c r="D125" s="646"/>
      <c r="E125" s="646"/>
      <c r="F125" s="646"/>
      <c r="G125" s="646"/>
      <c r="H125" s="646"/>
      <c r="I125" s="646"/>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1:65" x14ac:dyDescent="0.2">
      <c r="A126" s="2"/>
      <c r="B126" s="646"/>
      <c r="C126" s="646"/>
      <c r="D126" s="646"/>
      <c r="E126" s="646"/>
      <c r="F126" s="646"/>
      <c r="G126" s="646"/>
      <c r="H126" s="646"/>
      <c r="I126" s="646"/>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1:65" x14ac:dyDescent="0.2">
      <c r="A127" s="2"/>
      <c r="B127" s="646"/>
      <c r="C127" s="646"/>
      <c r="D127" s="646"/>
      <c r="E127" s="646"/>
      <c r="F127" s="646"/>
      <c r="G127" s="646"/>
      <c r="H127" s="646"/>
      <c r="I127" s="646"/>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1:65" x14ac:dyDescent="0.2">
      <c r="A128" s="2"/>
      <c r="B128" s="646"/>
      <c r="C128" s="646"/>
      <c r="D128" s="646"/>
      <c r="E128" s="646"/>
      <c r="F128" s="646"/>
      <c r="G128" s="646"/>
      <c r="H128" s="646"/>
      <c r="I128" s="646"/>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1:65" x14ac:dyDescent="0.2">
      <c r="A129" s="2"/>
      <c r="B129" s="646"/>
      <c r="C129" s="646"/>
      <c r="D129" s="646"/>
      <c r="E129" s="646"/>
      <c r="F129" s="646"/>
      <c r="G129" s="646"/>
      <c r="H129" s="646"/>
      <c r="I129" s="646"/>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1:65" x14ac:dyDescent="0.2">
      <c r="A130" s="2"/>
      <c r="B130" s="646"/>
      <c r="C130" s="646"/>
      <c r="D130" s="646"/>
      <c r="E130" s="646"/>
      <c r="F130" s="646"/>
      <c r="G130" s="646"/>
      <c r="H130" s="646"/>
      <c r="I130" s="646"/>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1:65" x14ac:dyDescent="0.2">
      <c r="A131" s="2"/>
      <c r="B131" s="646"/>
      <c r="C131" s="646"/>
      <c r="D131" s="646"/>
      <c r="E131" s="646"/>
      <c r="F131" s="646"/>
      <c r="G131" s="646"/>
      <c r="H131" s="646"/>
      <c r="I131" s="646"/>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1:65" x14ac:dyDescent="0.2">
      <c r="A132" s="2"/>
      <c r="B132" s="646"/>
      <c r="C132" s="646"/>
      <c r="D132" s="646"/>
      <c r="E132" s="646"/>
      <c r="F132" s="646"/>
      <c r="G132" s="646"/>
      <c r="H132" s="646"/>
      <c r="I132" s="646"/>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1:65" x14ac:dyDescent="0.2">
      <c r="A133" s="2"/>
      <c r="B133" s="646"/>
      <c r="C133" s="646"/>
      <c r="D133" s="646"/>
      <c r="E133" s="646"/>
      <c r="F133" s="646"/>
      <c r="G133" s="646"/>
      <c r="H133" s="646"/>
      <c r="I133" s="646"/>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1:65" x14ac:dyDescent="0.2">
      <c r="A134" s="2"/>
      <c r="B134" s="646"/>
      <c r="C134" s="646"/>
      <c r="D134" s="646"/>
      <c r="E134" s="646"/>
      <c r="F134" s="646"/>
      <c r="G134" s="646"/>
      <c r="H134" s="646"/>
      <c r="I134" s="646"/>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1:65" x14ac:dyDescent="0.2">
      <c r="A135" s="2"/>
      <c r="B135" s="646"/>
      <c r="C135" s="646"/>
      <c r="D135" s="646"/>
      <c r="E135" s="646"/>
      <c r="F135" s="646"/>
      <c r="G135" s="646"/>
      <c r="H135" s="646"/>
      <c r="I135" s="646"/>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1:65" x14ac:dyDescent="0.2">
      <c r="A136" s="2"/>
      <c r="B136" s="646"/>
      <c r="C136" s="646"/>
      <c r="D136" s="646"/>
      <c r="E136" s="646"/>
      <c r="F136" s="646"/>
      <c r="G136" s="646"/>
      <c r="H136" s="646"/>
      <c r="I136" s="646"/>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1:65" x14ac:dyDescent="0.2">
      <c r="A137" s="2"/>
      <c r="B137" s="646"/>
      <c r="C137" s="646"/>
      <c r="D137" s="646"/>
      <c r="E137" s="646"/>
      <c r="F137" s="646"/>
      <c r="G137" s="646"/>
      <c r="H137" s="646"/>
      <c r="I137" s="646"/>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1:65" x14ac:dyDescent="0.2">
      <c r="A138" s="2"/>
      <c r="B138" s="97"/>
      <c r="C138" s="97"/>
      <c r="D138" s="97"/>
      <c r="E138" s="97"/>
      <c r="F138" s="97"/>
      <c r="G138" s="97"/>
      <c r="H138" s="97"/>
      <c r="I138" s="97"/>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1:65" ht="19" x14ac:dyDescent="0.25">
      <c r="A139" s="2"/>
      <c r="B139" s="5" t="s">
        <v>446</v>
      </c>
      <c r="C139" s="100"/>
      <c r="D139" s="100"/>
      <c r="E139" s="100"/>
      <c r="F139" s="100"/>
      <c r="G139" s="100"/>
      <c r="H139" s="100"/>
      <c r="I139" s="100"/>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1:65" ht="16" customHeight="1" x14ac:dyDescent="0.2">
      <c r="A140" s="2"/>
      <c r="B140" s="709" t="s">
        <v>452</v>
      </c>
      <c r="C140" s="709"/>
      <c r="D140" s="709"/>
      <c r="E140" s="709"/>
      <c r="F140" s="709"/>
      <c r="G140" s="709"/>
      <c r="H140" s="709"/>
      <c r="I140" s="709"/>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1:65" x14ac:dyDescent="0.2">
      <c r="A141" s="2"/>
      <c r="B141" s="709"/>
      <c r="C141" s="709"/>
      <c r="D141" s="709"/>
      <c r="E141" s="709"/>
      <c r="F141" s="709"/>
      <c r="G141" s="709"/>
      <c r="H141" s="709"/>
      <c r="I141" s="709"/>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1:65" x14ac:dyDescent="0.2">
      <c r="A142" s="2"/>
      <c r="B142" s="709"/>
      <c r="C142" s="709"/>
      <c r="D142" s="709"/>
      <c r="E142" s="709"/>
      <c r="F142" s="709"/>
      <c r="G142" s="709"/>
      <c r="H142" s="709"/>
      <c r="I142" s="709"/>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1:65" x14ac:dyDescent="0.2">
      <c r="A143" s="2"/>
      <c r="B143" s="709"/>
      <c r="C143" s="709"/>
      <c r="D143" s="709"/>
      <c r="E143" s="709"/>
      <c r="F143" s="709"/>
      <c r="G143" s="709"/>
      <c r="H143" s="709"/>
      <c r="I143" s="709"/>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1:65" x14ac:dyDescent="0.2">
      <c r="A144" s="2"/>
      <c r="B144" s="709"/>
      <c r="C144" s="709"/>
      <c r="D144" s="709"/>
      <c r="E144" s="709"/>
      <c r="F144" s="709"/>
      <c r="G144" s="709"/>
      <c r="H144" s="709"/>
      <c r="I144" s="709"/>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1:65" x14ac:dyDescent="0.2">
      <c r="A145" s="2"/>
      <c r="B145" s="709"/>
      <c r="C145" s="709"/>
      <c r="D145" s="709"/>
      <c r="E145" s="709"/>
      <c r="F145" s="709"/>
      <c r="G145" s="709"/>
      <c r="H145" s="709"/>
      <c r="I145" s="709"/>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1:65" x14ac:dyDescent="0.2">
      <c r="A146" s="2"/>
      <c r="B146" s="709"/>
      <c r="C146" s="709"/>
      <c r="D146" s="709"/>
      <c r="E146" s="709"/>
      <c r="F146" s="709"/>
      <c r="G146" s="709"/>
      <c r="H146" s="709"/>
      <c r="I146" s="709"/>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1:65" x14ac:dyDescent="0.2">
      <c r="A147" s="2"/>
      <c r="B147" s="709"/>
      <c r="C147" s="709"/>
      <c r="D147" s="709"/>
      <c r="E147" s="709"/>
      <c r="F147" s="709"/>
      <c r="G147" s="709"/>
      <c r="H147" s="709"/>
      <c r="I147" s="709"/>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1:65" x14ac:dyDescent="0.2">
      <c r="A148" s="2"/>
      <c r="B148" s="709"/>
      <c r="C148" s="709"/>
      <c r="D148" s="709"/>
      <c r="E148" s="709"/>
      <c r="F148" s="709"/>
      <c r="G148" s="709"/>
      <c r="H148" s="709"/>
      <c r="I148" s="709"/>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1:65" x14ac:dyDescent="0.2">
      <c r="A149" s="2"/>
      <c r="B149" s="709"/>
      <c r="C149" s="709"/>
      <c r="D149" s="709"/>
      <c r="E149" s="709"/>
      <c r="F149" s="709"/>
      <c r="G149" s="709"/>
      <c r="H149" s="709"/>
      <c r="I149" s="709"/>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1:65" x14ac:dyDescent="0.2">
      <c r="A150" s="2"/>
      <c r="B150" s="709"/>
      <c r="C150" s="709"/>
      <c r="D150" s="709"/>
      <c r="E150" s="709"/>
      <c r="F150" s="709"/>
      <c r="G150" s="709"/>
      <c r="H150" s="709"/>
      <c r="I150" s="709"/>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1:65" x14ac:dyDescent="0.2">
      <c r="A151" s="2"/>
      <c r="B151" s="709"/>
      <c r="C151" s="709"/>
      <c r="D151" s="709"/>
      <c r="E151" s="709"/>
      <c r="F151" s="709"/>
      <c r="G151" s="709"/>
      <c r="H151" s="709"/>
      <c r="I151" s="709"/>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1:65" x14ac:dyDescent="0.2">
      <c r="A152" s="2"/>
      <c r="B152" s="709"/>
      <c r="C152" s="709"/>
      <c r="D152" s="709"/>
      <c r="E152" s="709"/>
      <c r="F152" s="709"/>
      <c r="G152" s="709"/>
      <c r="H152" s="709"/>
      <c r="I152" s="709"/>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1:65" x14ac:dyDescent="0.2">
      <c r="A153" s="2"/>
      <c r="B153" s="709"/>
      <c r="C153" s="709"/>
      <c r="D153" s="709"/>
      <c r="E153" s="709"/>
      <c r="F153" s="709"/>
      <c r="G153" s="709"/>
      <c r="H153" s="709"/>
      <c r="I153" s="709"/>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1:65" x14ac:dyDescent="0.2">
      <c r="A154" s="2"/>
      <c r="B154" s="100"/>
      <c r="C154" s="100"/>
      <c r="D154" s="100"/>
      <c r="E154" s="100"/>
      <c r="F154" s="100"/>
      <c r="G154" s="100"/>
      <c r="H154" s="100"/>
      <c r="I154" s="100"/>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1:65" ht="19" x14ac:dyDescent="0.25">
      <c r="A155" s="4" t="s">
        <v>2</v>
      </c>
      <c r="B155" s="360"/>
      <c r="C155" s="360"/>
      <c r="D155" s="360"/>
      <c r="E155" s="360"/>
      <c r="F155" s="360"/>
      <c r="G155" s="360"/>
      <c r="H155" s="360"/>
      <c r="I155" s="360"/>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1:65" ht="16" customHeight="1" x14ac:dyDescent="0.2">
      <c r="A156" s="360"/>
      <c r="B156" s="709" t="s">
        <v>448</v>
      </c>
      <c r="C156" s="709"/>
      <c r="D156" s="709"/>
      <c r="E156" s="709"/>
      <c r="F156" s="709"/>
      <c r="G156" s="709"/>
      <c r="H156" s="709"/>
      <c r="I156" s="709"/>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1:65" x14ac:dyDescent="0.2">
      <c r="A157" s="360"/>
      <c r="B157" s="709"/>
      <c r="C157" s="709"/>
      <c r="D157" s="709"/>
      <c r="E157" s="709"/>
      <c r="F157" s="709"/>
      <c r="G157" s="709"/>
      <c r="H157" s="709"/>
      <c r="I157" s="709"/>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1:65" x14ac:dyDescent="0.2">
      <c r="A158" s="360"/>
      <c r="B158" s="709"/>
      <c r="C158" s="709"/>
      <c r="D158" s="709"/>
      <c r="E158" s="709"/>
      <c r="F158" s="709"/>
      <c r="G158" s="709"/>
      <c r="H158" s="709"/>
      <c r="I158" s="709"/>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1:65" x14ac:dyDescent="0.2">
      <c r="A159" s="360"/>
      <c r="B159" s="709"/>
      <c r="C159" s="709"/>
      <c r="D159" s="709"/>
      <c r="E159" s="709"/>
      <c r="F159" s="709"/>
      <c r="G159" s="709"/>
      <c r="H159" s="709"/>
      <c r="I159" s="709"/>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1:65" x14ac:dyDescent="0.2">
      <c r="A160" s="360"/>
      <c r="B160" s="709"/>
      <c r="C160" s="709"/>
      <c r="D160" s="709"/>
      <c r="E160" s="709"/>
      <c r="F160" s="709"/>
      <c r="G160" s="709"/>
      <c r="H160" s="709"/>
      <c r="I160" s="709"/>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1:65" x14ac:dyDescent="0.2">
      <c r="A161" s="360"/>
      <c r="B161" s="709"/>
      <c r="C161" s="709"/>
      <c r="D161" s="709"/>
      <c r="E161" s="709"/>
      <c r="F161" s="709"/>
      <c r="G161" s="709"/>
      <c r="H161" s="709"/>
      <c r="I161" s="709"/>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1:65" x14ac:dyDescent="0.2">
      <c r="A162" s="360"/>
      <c r="B162" s="709"/>
      <c r="C162" s="709"/>
      <c r="D162" s="709"/>
      <c r="E162" s="709"/>
      <c r="F162" s="709"/>
      <c r="G162" s="709"/>
      <c r="H162" s="709"/>
      <c r="I162" s="709"/>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1:65" x14ac:dyDescent="0.2">
      <c r="A163" s="2"/>
      <c r="B163" s="100"/>
      <c r="C163" s="100"/>
      <c r="D163" s="100"/>
      <c r="E163" s="100"/>
      <c r="F163" s="100"/>
      <c r="G163" s="100"/>
      <c r="H163" s="100"/>
      <c r="I163" s="100"/>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1:65" ht="19" x14ac:dyDescent="0.25">
      <c r="A164" s="4" t="s">
        <v>1</v>
      </c>
      <c r="B164" s="100"/>
      <c r="C164" s="100"/>
      <c r="D164" s="100"/>
      <c r="E164" s="100"/>
      <c r="F164" s="100"/>
      <c r="G164" s="100"/>
      <c r="H164" s="100"/>
      <c r="I164" s="100"/>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1:65" x14ac:dyDescent="0.2">
      <c r="A165" s="2"/>
      <c r="B165" s="376" t="s">
        <v>453</v>
      </c>
      <c r="C165" s="100"/>
      <c r="D165" s="100"/>
      <c r="E165" s="100"/>
      <c r="F165" s="100"/>
      <c r="G165" s="100"/>
      <c r="H165" s="100"/>
      <c r="I165" s="100"/>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1:65" x14ac:dyDescent="0.2">
      <c r="A166" s="2"/>
      <c r="B166" s="100"/>
      <c r="C166" s="100"/>
      <c r="D166" s="100"/>
      <c r="E166" s="100"/>
      <c r="F166" s="100"/>
      <c r="G166" s="100"/>
      <c r="H166" s="100"/>
      <c r="I166" s="100"/>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1:65" ht="19" x14ac:dyDescent="0.25">
      <c r="A167" s="4" t="s">
        <v>0</v>
      </c>
      <c r="B167" s="100"/>
      <c r="C167" s="100"/>
      <c r="D167" s="100"/>
      <c r="E167" s="100"/>
      <c r="F167" s="100"/>
      <c r="G167" s="100"/>
      <c r="H167" s="100"/>
      <c r="I167" s="100"/>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1:65" x14ac:dyDescent="0.2">
      <c r="A168" s="2"/>
      <c r="B168" s="376" t="s">
        <v>597</v>
      </c>
      <c r="C168" s="100"/>
      <c r="D168" s="100"/>
      <c r="E168" s="100"/>
      <c r="F168" s="100"/>
      <c r="G168" s="100"/>
      <c r="H168" s="100"/>
      <c r="I168" s="100"/>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1:65" x14ac:dyDescent="0.2">
      <c r="A169" s="2"/>
      <c r="B169" s="376" t="s">
        <v>625</v>
      </c>
      <c r="C169" s="100"/>
      <c r="D169" s="100"/>
      <c r="E169" s="100"/>
      <c r="F169" s="100"/>
      <c r="G169" s="100"/>
      <c r="H169" s="100"/>
      <c r="I169" s="100"/>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1:65" x14ac:dyDescent="0.2">
      <c r="A170" s="2"/>
      <c r="B170" s="376" t="s">
        <v>626</v>
      </c>
      <c r="C170" s="100"/>
      <c r="D170" s="100"/>
      <c r="E170" s="100"/>
      <c r="F170" s="100"/>
      <c r="G170" s="100"/>
      <c r="H170" s="100"/>
      <c r="I170" s="100"/>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1:65" x14ac:dyDescent="0.2">
      <c r="A171" s="2"/>
      <c r="B171" s="376" t="s">
        <v>627</v>
      </c>
      <c r="C171" s="100"/>
      <c r="D171" s="100"/>
      <c r="E171" s="100"/>
      <c r="F171" s="100"/>
      <c r="G171" s="100"/>
      <c r="H171" s="100"/>
      <c r="I171" s="100"/>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1:65" x14ac:dyDescent="0.2">
      <c r="A172" s="2"/>
      <c r="B172" s="376" t="s">
        <v>598</v>
      </c>
      <c r="C172" s="100"/>
      <c r="D172" s="100"/>
      <c r="E172" s="100"/>
      <c r="F172" s="100"/>
      <c r="G172" s="100"/>
      <c r="H172" s="100"/>
      <c r="I172" s="100"/>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1:65" x14ac:dyDescent="0.2">
      <c r="A173" s="2"/>
      <c r="B173" s="100"/>
      <c r="C173" s="100"/>
      <c r="D173" s="100"/>
      <c r="E173" s="100"/>
      <c r="F173" s="100"/>
      <c r="G173" s="100"/>
      <c r="H173" s="100"/>
      <c r="I173" s="100"/>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1:65" x14ac:dyDescent="0.2">
      <c r="A174" s="2"/>
      <c r="B174" s="100"/>
      <c r="C174" s="100"/>
      <c r="D174" s="100"/>
      <c r="E174" s="100"/>
      <c r="F174" s="100"/>
      <c r="G174" s="100"/>
      <c r="H174" s="100"/>
      <c r="I174" s="100"/>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sheetData>
  <mergeCells count="11">
    <mergeCell ref="B156:I162"/>
    <mergeCell ref="B27:I28"/>
    <mergeCell ref="B36:I38"/>
    <mergeCell ref="B71:I72"/>
    <mergeCell ref="E6:I6"/>
    <mergeCell ref="B30:I31"/>
    <mergeCell ref="B79:I80"/>
    <mergeCell ref="B115:I120"/>
    <mergeCell ref="B140:I153"/>
    <mergeCell ref="B94:I112"/>
    <mergeCell ref="B123:I137"/>
  </mergeCells>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3764-FC1F-7E4F-89E4-B923D5DDD184}">
  <dimension ref="A1:BM316"/>
  <sheetViews>
    <sheetView showGridLines="0" zoomScale="120" zoomScaleNormal="120" workbookViewId="0"/>
  </sheetViews>
  <sheetFormatPr baseColWidth="10" defaultColWidth="10.83203125" defaultRowHeight="16" x14ac:dyDescent="0.2"/>
  <cols>
    <col min="1" max="1" width="10.83203125" style="1"/>
    <col min="2" max="3" width="10.83203125" style="1" customWidth="1"/>
    <col min="4" max="5" width="10.83203125" style="1"/>
    <col min="6" max="7" width="10.83203125" style="1" customWidth="1"/>
    <col min="8" max="9" width="10.83203125" style="1"/>
    <col min="10" max="10" width="11.83203125" style="1" customWidth="1"/>
    <col min="11" max="16384" width="10.83203125" style="1"/>
  </cols>
  <sheetData>
    <row r="1" spans="1:49" ht="19" x14ac:dyDescent="0.25">
      <c r="A1" s="29" t="s">
        <v>475</v>
      </c>
      <c r="B1" s="98"/>
      <c r="C1" s="98"/>
      <c r="D1" s="98"/>
      <c r="E1" s="98"/>
      <c r="F1" s="98"/>
      <c r="G1" s="98"/>
      <c r="H1" s="98"/>
      <c r="I1" s="98"/>
      <c r="J1" s="99"/>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49" x14ac:dyDescent="0.2">
      <c r="A2" s="101"/>
      <c r="B2" s="98"/>
      <c r="C2" s="98"/>
      <c r="D2" s="98"/>
      <c r="E2" s="98"/>
      <c r="F2" s="98"/>
      <c r="G2" s="98"/>
      <c r="H2" s="98"/>
      <c r="I2" s="98"/>
      <c r="J2" s="99"/>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x14ac:dyDescent="0.2">
      <c r="A3" s="102"/>
      <c r="B3" s="28" t="s">
        <v>11</v>
      </c>
      <c r="C3" s="98"/>
      <c r="D3" s="98"/>
      <c r="E3" s="98"/>
      <c r="F3" s="98"/>
      <c r="G3" s="98"/>
      <c r="H3" s="98"/>
      <c r="I3" s="98"/>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row>
    <row r="4" spans="1:49" ht="16" customHeight="1" x14ac:dyDescent="0.2">
      <c r="A4" s="102"/>
      <c r="B4" s="723" t="s">
        <v>489</v>
      </c>
      <c r="C4" s="723"/>
      <c r="D4" s="723"/>
      <c r="E4" s="723"/>
      <c r="F4" s="723"/>
      <c r="G4" s="723"/>
      <c r="H4" s="723"/>
      <c r="I4" s="723"/>
      <c r="J4" s="99"/>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1:49" x14ac:dyDescent="0.2">
      <c r="A5" s="102"/>
      <c r="B5" s="723"/>
      <c r="C5" s="723"/>
      <c r="D5" s="723"/>
      <c r="E5" s="723"/>
      <c r="F5" s="723"/>
      <c r="G5" s="723"/>
      <c r="H5" s="723"/>
      <c r="I5" s="723"/>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x14ac:dyDescent="0.2">
      <c r="A6" s="102"/>
      <c r="B6" s="98"/>
      <c r="C6" s="98"/>
      <c r="D6" s="98"/>
      <c r="E6" s="98"/>
      <c r="F6" s="98"/>
      <c r="G6" s="98"/>
      <c r="H6" s="98"/>
      <c r="I6" s="98"/>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102"/>
      <c r="B7" s="98"/>
      <c r="C7" s="484" t="s">
        <v>164</v>
      </c>
      <c r="D7" s="493"/>
      <c r="E7" s="493"/>
      <c r="F7" s="485" t="s">
        <v>419</v>
      </c>
      <c r="G7" s="98"/>
      <c r="H7" s="652" t="s">
        <v>63</v>
      </c>
      <c r="I7" s="653"/>
      <c r="J7" s="99"/>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ht="16" customHeight="1" x14ac:dyDescent="0.2">
      <c r="A8" s="102"/>
      <c r="B8" s="98"/>
      <c r="C8" s="494" t="s">
        <v>364</v>
      </c>
      <c r="D8" s="495" t="s">
        <v>222</v>
      </c>
      <c r="E8" s="495" t="s">
        <v>222</v>
      </c>
      <c r="F8" s="409" t="s">
        <v>476</v>
      </c>
      <c r="G8" s="98"/>
      <c r="H8" s="484" t="s">
        <v>159</v>
      </c>
      <c r="I8" s="485" t="s">
        <v>478</v>
      </c>
      <c r="J8" s="99"/>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49" ht="16" customHeight="1" x14ac:dyDescent="0.2">
      <c r="A9" s="102"/>
      <c r="B9" s="98"/>
      <c r="C9" s="496" t="s">
        <v>10</v>
      </c>
      <c r="D9" s="407" t="s">
        <v>205</v>
      </c>
      <c r="E9" s="407" t="s">
        <v>255</v>
      </c>
      <c r="F9" s="497" t="s">
        <v>477</v>
      </c>
      <c r="G9" s="98"/>
      <c r="H9" s="486" t="s">
        <v>160</v>
      </c>
      <c r="I9" s="408" t="s">
        <v>479</v>
      </c>
      <c r="J9" s="99"/>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x14ac:dyDescent="0.2">
      <c r="A10" s="102"/>
      <c r="B10" s="98"/>
      <c r="C10" s="482">
        <v>2018</v>
      </c>
      <c r="D10" s="616">
        <v>1122372</v>
      </c>
      <c r="E10" s="617">
        <v>6900</v>
      </c>
      <c r="F10" s="618">
        <v>856495</v>
      </c>
      <c r="G10" s="98"/>
      <c r="H10" s="487">
        <v>43009</v>
      </c>
      <c r="I10" s="488">
        <v>0.02</v>
      </c>
      <c r="J10" s="99"/>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x14ac:dyDescent="0.2">
      <c r="A11" s="102"/>
      <c r="B11" s="98"/>
      <c r="C11" s="482">
        <v>2019</v>
      </c>
      <c r="D11" s="616">
        <v>1154508</v>
      </c>
      <c r="E11" s="617">
        <v>7020</v>
      </c>
      <c r="F11" s="618">
        <v>867184</v>
      </c>
      <c r="G11" s="98"/>
      <c r="H11" s="489">
        <v>43556</v>
      </c>
      <c r="I11" s="488">
        <v>8.5000000000000006E-2</v>
      </c>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x14ac:dyDescent="0.2">
      <c r="A12" s="102"/>
      <c r="B12" s="98"/>
      <c r="C12" s="482">
        <v>2020</v>
      </c>
      <c r="D12" s="616">
        <v>1280545</v>
      </c>
      <c r="E12" s="617">
        <v>7130</v>
      </c>
      <c r="F12" s="618">
        <v>835120</v>
      </c>
      <c r="G12" s="98"/>
      <c r="H12" s="489">
        <v>43922</v>
      </c>
      <c r="I12" s="488">
        <v>3.5000000000000003E-2</v>
      </c>
      <c r="J12" s="99"/>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x14ac:dyDescent="0.2">
      <c r="A13" s="102"/>
      <c r="B13" s="98"/>
      <c r="C13" s="482">
        <v>2021</v>
      </c>
      <c r="D13" s="616">
        <v>1369976</v>
      </c>
      <c r="E13" s="617">
        <v>7258</v>
      </c>
      <c r="F13" s="618">
        <v>821509</v>
      </c>
      <c r="G13" s="98"/>
      <c r="H13" s="490">
        <v>44013</v>
      </c>
      <c r="I13" s="488">
        <v>-0.04</v>
      </c>
      <c r="J13" s="422" t="s">
        <v>495</v>
      </c>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x14ac:dyDescent="0.2">
      <c r="A14" s="102"/>
      <c r="B14" s="98"/>
      <c r="C14" s="483">
        <v>2022</v>
      </c>
      <c r="D14" s="619">
        <v>1397750</v>
      </c>
      <c r="E14" s="620">
        <v>7380</v>
      </c>
      <c r="F14" s="621">
        <v>797866</v>
      </c>
      <c r="G14" s="98"/>
      <c r="H14" s="489">
        <v>44287</v>
      </c>
      <c r="I14" s="488">
        <v>0.05</v>
      </c>
      <c r="J14" s="626"/>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x14ac:dyDescent="0.2">
      <c r="A15" s="102"/>
      <c r="B15" s="98"/>
      <c r="C15" s="104"/>
      <c r="D15" s="104"/>
      <c r="E15" s="104"/>
      <c r="F15" s="98"/>
      <c r="G15" s="98"/>
      <c r="H15" s="491">
        <v>44927</v>
      </c>
      <c r="I15" s="492">
        <v>0.04</v>
      </c>
      <c r="J15" s="626" t="s">
        <v>631</v>
      </c>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x14ac:dyDescent="0.2">
      <c r="A16" s="102"/>
      <c r="B16" s="98"/>
      <c r="C16" s="104"/>
      <c r="D16" s="104"/>
      <c r="E16" s="104"/>
      <c r="F16" s="98"/>
      <c r="G16" s="98"/>
      <c r="H16" s="413"/>
      <c r="I16" s="98"/>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x14ac:dyDescent="0.2">
      <c r="A17" s="102"/>
      <c r="B17" s="724" t="s">
        <v>630</v>
      </c>
      <c r="C17" s="723"/>
      <c r="D17" s="723"/>
      <c r="E17" s="723"/>
      <c r="F17" s="723"/>
      <c r="G17" s="723"/>
      <c r="H17" s="723"/>
      <c r="I17" s="723"/>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x14ac:dyDescent="0.2">
      <c r="A18" s="102"/>
      <c r="B18" s="723"/>
      <c r="C18" s="723"/>
      <c r="D18" s="723"/>
      <c r="E18" s="723"/>
      <c r="F18" s="723"/>
      <c r="G18" s="723"/>
      <c r="H18" s="723"/>
      <c r="I18" s="723"/>
      <c r="J18" s="99"/>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x14ac:dyDescent="0.2">
      <c r="A19" s="102"/>
      <c r="B19" s="625" t="s">
        <v>629</v>
      </c>
      <c r="C19" s="412"/>
      <c r="D19" s="412"/>
      <c r="E19" s="412"/>
      <c r="F19" s="412"/>
      <c r="G19" s="412"/>
      <c r="H19" s="412"/>
      <c r="I19" s="412"/>
      <c r="J19" s="99"/>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x14ac:dyDescent="0.2">
      <c r="A20" s="102"/>
      <c r="B20" s="412"/>
      <c r="C20" s="412"/>
      <c r="D20" s="412"/>
      <c r="E20" s="412"/>
      <c r="F20" s="412"/>
      <c r="G20" s="412"/>
      <c r="H20" s="412"/>
      <c r="I20" s="412"/>
      <c r="J20" s="99"/>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x14ac:dyDescent="0.2">
      <c r="A21" s="102"/>
      <c r="B21" s="98"/>
      <c r="C21" s="652" t="s">
        <v>480</v>
      </c>
      <c r="D21" s="674"/>
      <c r="E21" s="674"/>
      <c r="F21" s="674"/>
      <c r="G21" s="674"/>
      <c r="H21" s="653"/>
      <c r="I21" s="398"/>
      <c r="J21" s="99"/>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ht="17" x14ac:dyDescent="0.2">
      <c r="A22" s="102"/>
      <c r="B22" s="98"/>
      <c r="C22" s="498"/>
      <c r="D22" s="499" t="s">
        <v>454</v>
      </c>
      <c r="E22" s="500" t="s">
        <v>455</v>
      </c>
      <c r="F22" s="500" t="s">
        <v>456</v>
      </c>
      <c r="G22" s="499" t="s">
        <v>457</v>
      </c>
      <c r="H22" s="501" t="s">
        <v>458</v>
      </c>
      <c r="I22" s="398"/>
      <c r="J22" s="99"/>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x14ac:dyDescent="0.2">
      <c r="A23" s="102"/>
      <c r="B23" s="98"/>
      <c r="C23" s="502" t="s">
        <v>471</v>
      </c>
      <c r="D23" s="503">
        <v>1.153</v>
      </c>
      <c r="E23" s="503">
        <v>1.0354000000000001</v>
      </c>
      <c r="F23" s="503">
        <v>1.0046999999999999</v>
      </c>
      <c r="G23" s="503">
        <v>0.98760000000000003</v>
      </c>
      <c r="H23" s="504">
        <v>1</v>
      </c>
      <c r="I23" s="398"/>
      <c r="J23" s="99"/>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x14ac:dyDescent="0.2">
      <c r="A24" s="102"/>
      <c r="B24" s="98"/>
      <c r="C24" s="104"/>
      <c r="D24" s="106"/>
      <c r="E24" s="104"/>
      <c r="F24" s="104"/>
      <c r="G24" s="98"/>
      <c r="H24" s="98"/>
      <c r="I24" s="98"/>
      <c r="J24" s="99"/>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x14ac:dyDescent="0.2">
      <c r="A25" s="102"/>
      <c r="B25" s="406" t="s">
        <v>481</v>
      </c>
      <c r="C25" s="104"/>
      <c r="D25" s="104"/>
      <c r="E25" s="401"/>
      <c r="F25" s="104"/>
      <c r="G25" s="98"/>
      <c r="H25" s="98"/>
      <c r="I25" s="98"/>
      <c r="J25" s="99"/>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x14ac:dyDescent="0.2">
      <c r="A26" s="102"/>
      <c r="B26" s="406" t="s">
        <v>498</v>
      </c>
      <c r="C26" s="104"/>
      <c r="D26" s="104"/>
      <c r="E26" s="401"/>
      <c r="F26" s="104"/>
      <c r="G26" s="98"/>
      <c r="H26" s="98"/>
      <c r="I26" s="98"/>
      <c r="J26" s="99"/>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x14ac:dyDescent="0.2">
      <c r="A27" s="102"/>
      <c r="B27" s="406"/>
      <c r="C27" s="104"/>
      <c r="D27" s="104"/>
      <c r="E27" s="401"/>
      <c r="F27" s="104"/>
      <c r="G27" s="98"/>
      <c r="H27" s="98"/>
      <c r="I27" s="98"/>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x14ac:dyDescent="0.2">
      <c r="A28" s="102"/>
      <c r="B28" s="723" t="s">
        <v>484</v>
      </c>
      <c r="C28" s="723"/>
      <c r="D28" s="723"/>
      <c r="E28" s="723"/>
      <c r="F28" s="723"/>
      <c r="G28" s="723"/>
      <c r="H28" s="723"/>
      <c r="I28" s="723"/>
      <c r="J28" s="99"/>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x14ac:dyDescent="0.2">
      <c r="A29" s="102"/>
      <c r="B29" s="723"/>
      <c r="C29" s="723"/>
      <c r="D29" s="723"/>
      <c r="E29" s="723"/>
      <c r="F29" s="723"/>
      <c r="G29" s="723"/>
      <c r="H29" s="723"/>
      <c r="I29" s="723"/>
      <c r="J29" s="99"/>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x14ac:dyDescent="0.2">
      <c r="A30" s="102"/>
      <c r="B30" s="412"/>
      <c r="C30" s="412"/>
      <c r="D30" s="412"/>
      <c r="E30" s="412"/>
      <c r="F30" s="412"/>
      <c r="G30" s="412"/>
      <c r="H30" s="412"/>
      <c r="I30" s="412"/>
      <c r="J30" s="99"/>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x14ac:dyDescent="0.2">
      <c r="A31" s="102"/>
      <c r="B31" s="723" t="s">
        <v>483</v>
      </c>
      <c r="C31" s="723"/>
      <c r="D31" s="723"/>
      <c r="E31" s="723"/>
      <c r="F31" s="723"/>
      <c r="G31" s="723"/>
      <c r="H31" s="723"/>
      <c r="I31" s="723"/>
      <c r="J31" s="99"/>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x14ac:dyDescent="0.2">
      <c r="A32" s="102"/>
      <c r="B32" s="723"/>
      <c r="C32" s="723"/>
      <c r="D32" s="723"/>
      <c r="E32" s="723"/>
      <c r="F32" s="723"/>
      <c r="G32" s="723"/>
      <c r="H32" s="723"/>
      <c r="I32" s="723"/>
      <c r="J32" s="99"/>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x14ac:dyDescent="0.2">
      <c r="A33" s="102"/>
      <c r="B33" s="583" t="s">
        <v>533</v>
      </c>
      <c r="C33" s="104"/>
      <c r="D33" s="395"/>
      <c r="E33" s="402"/>
      <c r="F33" s="395">
        <v>2.1000000000000001E-2</v>
      </c>
      <c r="G33" s="98"/>
      <c r="H33" s="98"/>
      <c r="I33" s="98"/>
      <c r="J33" s="99"/>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x14ac:dyDescent="0.2">
      <c r="A34" s="102"/>
      <c r="B34" s="583" t="s">
        <v>534</v>
      </c>
      <c r="C34" s="104"/>
      <c r="D34" s="395"/>
      <c r="E34" s="402"/>
      <c r="F34" s="622">
        <v>203.23</v>
      </c>
      <c r="G34" s="406" t="s">
        <v>485</v>
      </c>
      <c r="H34" s="98"/>
      <c r="I34" s="98"/>
      <c r="J34" s="99"/>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x14ac:dyDescent="0.2">
      <c r="A35" s="102"/>
      <c r="B35" s="583" t="s">
        <v>535</v>
      </c>
      <c r="C35" s="104"/>
      <c r="D35" s="395"/>
      <c r="E35" s="402"/>
      <c r="F35" s="395">
        <v>3.7999999999999999E-2</v>
      </c>
      <c r="G35" s="98"/>
      <c r="H35" s="98"/>
      <c r="I35" s="98"/>
      <c r="J35" s="99"/>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x14ac:dyDescent="0.2">
      <c r="A36" s="102"/>
      <c r="B36" s="583" t="s">
        <v>536</v>
      </c>
      <c r="C36" s="104"/>
      <c r="D36" s="395"/>
      <c r="E36" s="402"/>
      <c r="F36" s="395">
        <v>4.4999999999999998E-2</v>
      </c>
      <c r="G36" s="98"/>
      <c r="H36" s="98"/>
      <c r="I36" s="98"/>
      <c r="J36" s="99"/>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x14ac:dyDescent="0.2">
      <c r="A37" s="102"/>
      <c r="B37" s="406"/>
      <c r="C37" s="104"/>
      <c r="D37" s="395"/>
      <c r="E37" s="402"/>
      <c r="F37" s="395"/>
      <c r="G37" s="98"/>
      <c r="H37" s="98"/>
      <c r="I37" s="98"/>
      <c r="J37" s="99"/>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x14ac:dyDescent="0.2">
      <c r="A38" s="102"/>
      <c r="B38" s="406" t="s">
        <v>486</v>
      </c>
      <c r="C38" s="104"/>
      <c r="D38" s="395"/>
      <c r="E38" s="402"/>
      <c r="F38" s="395"/>
      <c r="G38" s="98"/>
      <c r="H38" s="98"/>
      <c r="I38" s="98"/>
      <c r="J38" s="99"/>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x14ac:dyDescent="0.2">
      <c r="A39" s="102"/>
      <c r="B39" s="583" t="s">
        <v>537</v>
      </c>
      <c r="C39" s="104"/>
      <c r="D39" s="395"/>
      <c r="E39" s="395">
        <v>0.10299999999999999</v>
      </c>
      <c r="F39" s="395"/>
      <c r="G39" s="98"/>
      <c r="H39" s="98"/>
      <c r="I39" s="98"/>
      <c r="J39" s="99"/>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x14ac:dyDescent="0.2">
      <c r="A40" s="102"/>
      <c r="B40" s="583" t="s">
        <v>538</v>
      </c>
      <c r="C40" s="104"/>
      <c r="D40" s="395"/>
      <c r="E40" s="395">
        <v>0.158</v>
      </c>
      <c r="F40" s="395"/>
      <c r="G40" s="98"/>
      <c r="H40" s="98"/>
      <c r="I40" s="98"/>
      <c r="J40" s="99"/>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x14ac:dyDescent="0.2">
      <c r="A41" s="102"/>
      <c r="B41" s="583" t="s">
        <v>539</v>
      </c>
      <c r="C41" s="104"/>
      <c r="D41" s="104"/>
      <c r="E41" s="395">
        <v>0.11600000000000001</v>
      </c>
      <c r="F41" s="406" t="s">
        <v>501</v>
      </c>
      <c r="G41" s="98"/>
      <c r="H41" s="98"/>
      <c r="I41" s="98"/>
      <c r="J41" s="99"/>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x14ac:dyDescent="0.2">
      <c r="A42" s="102"/>
      <c r="B42" s="583" t="s">
        <v>530</v>
      </c>
      <c r="C42" s="104"/>
      <c r="D42" s="104"/>
      <c r="E42" s="395">
        <v>0.08</v>
      </c>
      <c r="F42" s="98"/>
      <c r="G42" s="98"/>
      <c r="H42" s="98"/>
      <c r="I42" s="98"/>
      <c r="J42" s="99"/>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3" spans="1:49" x14ac:dyDescent="0.2">
      <c r="A43" s="102"/>
      <c r="B43" s="98"/>
      <c r="C43" s="104"/>
      <c r="D43" s="104"/>
      <c r="E43" s="401"/>
      <c r="F43" s="98"/>
      <c r="G43" s="98"/>
      <c r="H43" s="98"/>
      <c r="I43" s="98"/>
      <c r="J43" s="99"/>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row>
    <row r="44" spans="1:49" x14ac:dyDescent="0.2">
      <c r="A44" s="102"/>
      <c r="B44" s="614" t="s">
        <v>482</v>
      </c>
      <c r="C44" s="104"/>
      <c r="D44" s="104"/>
      <c r="E44" s="401"/>
      <c r="F44" s="98"/>
      <c r="G44" s="98"/>
      <c r="H44" s="98"/>
      <c r="I44" s="98"/>
      <c r="J44" s="99"/>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49" x14ac:dyDescent="0.2">
      <c r="A45" s="102"/>
      <c r="B45" s="583" t="s">
        <v>531</v>
      </c>
      <c r="C45" s="398"/>
      <c r="D45" s="398"/>
      <c r="E45" s="399">
        <v>719</v>
      </c>
      <c r="F45" s="98"/>
      <c r="G45" s="98"/>
      <c r="H45" s="98"/>
      <c r="I45" s="98"/>
      <c r="J45" s="99"/>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x14ac:dyDescent="0.2">
      <c r="A46" s="102"/>
      <c r="B46" s="583" t="s">
        <v>532</v>
      </c>
      <c r="C46" s="104"/>
      <c r="D46" s="106"/>
      <c r="E46" s="410">
        <v>1082</v>
      </c>
      <c r="F46" s="98"/>
      <c r="G46" s="98"/>
      <c r="H46" s="98"/>
      <c r="I46" s="98"/>
      <c r="J46" s="99"/>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x14ac:dyDescent="0.2">
      <c r="A47" s="102"/>
      <c r="B47" s="583" t="s">
        <v>540</v>
      </c>
      <c r="C47" s="104"/>
      <c r="D47" s="106"/>
      <c r="E47" s="411">
        <v>6.5000000000000002E-2</v>
      </c>
      <c r="F47" s="98"/>
      <c r="G47" s="98"/>
      <c r="H47" s="98"/>
      <c r="I47" s="98"/>
      <c r="J47" s="99"/>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x14ac:dyDescent="0.2">
      <c r="A48" s="102"/>
      <c r="B48" s="98"/>
      <c r="C48" s="104"/>
      <c r="D48" s="104"/>
      <c r="E48" s="104"/>
      <c r="F48" s="98"/>
      <c r="G48" s="98"/>
      <c r="H48" s="98"/>
      <c r="I48" s="98"/>
      <c r="J48" s="99"/>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x14ac:dyDescent="0.2">
      <c r="A49" s="102"/>
      <c r="B49" s="98"/>
      <c r="C49" s="104"/>
      <c r="D49" s="104"/>
      <c r="E49" s="104"/>
      <c r="F49" s="98"/>
      <c r="G49" s="98"/>
      <c r="H49" s="98"/>
      <c r="I49" s="98"/>
      <c r="J49" s="99"/>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ht="16" customHeight="1" x14ac:dyDescent="0.2">
      <c r="A50" s="102" t="s">
        <v>80</v>
      </c>
      <c r="B50" s="72" t="s">
        <v>487</v>
      </c>
      <c r="C50" s="107"/>
      <c r="D50" s="107"/>
      <c r="E50" s="107"/>
      <c r="F50" s="107"/>
      <c r="G50" s="107"/>
      <c r="H50" s="107"/>
      <c r="I50" s="107"/>
      <c r="J50" s="99"/>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ht="16" customHeight="1" x14ac:dyDescent="0.2">
      <c r="A51" s="102"/>
      <c r="B51" s="72"/>
      <c r="C51" s="107"/>
      <c r="D51" s="107"/>
      <c r="E51" s="107"/>
      <c r="F51" s="107"/>
      <c r="G51" s="107"/>
      <c r="H51" s="107"/>
      <c r="I51" s="107"/>
      <c r="J51" s="99"/>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ht="16" customHeight="1" x14ac:dyDescent="0.2">
      <c r="A52" s="102" t="s">
        <v>81</v>
      </c>
      <c r="B52" s="72" t="s">
        <v>488</v>
      </c>
      <c r="C52" s="107"/>
      <c r="D52" s="107"/>
      <c r="E52" s="107"/>
      <c r="F52" s="107"/>
      <c r="G52" s="107"/>
      <c r="H52" s="107"/>
      <c r="I52" s="107"/>
      <c r="J52" s="99"/>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ht="17" thickBot="1" x14ac:dyDescent="0.25">
      <c r="A53" s="108"/>
      <c r="B53" s="109"/>
      <c r="C53" s="110"/>
      <c r="D53" s="110"/>
      <c r="E53" s="110"/>
      <c r="F53" s="109"/>
      <c r="G53" s="109"/>
      <c r="H53" s="109"/>
      <c r="I53" s="109"/>
      <c r="J53" s="111"/>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ht="19" x14ac:dyDescent="0.25">
      <c r="A55" s="4" t="s">
        <v>9</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ht="16" customHeight="1" x14ac:dyDescent="0.2">
      <c r="A56" s="8" t="s">
        <v>490</v>
      </c>
      <c r="B56" s="7"/>
      <c r="C56" s="7"/>
      <c r="D56" s="7"/>
      <c r="E56" s="7"/>
      <c r="F56" s="7"/>
      <c r="G56" s="7"/>
      <c r="H56" s="7"/>
      <c r="I56" s="7"/>
      <c r="J56" s="100"/>
      <c r="K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ht="16" customHeight="1" x14ac:dyDescent="0.2">
      <c r="A57" s="6" t="s">
        <v>8</v>
      </c>
      <c r="B57" s="632" t="s">
        <v>153</v>
      </c>
      <c r="C57" s="632"/>
      <c r="D57" s="632"/>
      <c r="E57" s="632"/>
      <c r="F57" s="632"/>
      <c r="G57" s="632"/>
      <c r="H57" s="632"/>
      <c r="I57" s="632"/>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ht="16" customHeight="1" x14ac:dyDescent="0.2">
      <c r="A58" s="6"/>
      <c r="B58" s="632"/>
      <c r="C58" s="632"/>
      <c r="D58" s="632"/>
      <c r="E58" s="632"/>
      <c r="F58" s="632"/>
      <c r="G58" s="632"/>
      <c r="H58" s="632"/>
      <c r="I58" s="632"/>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ht="16" customHeight="1" x14ac:dyDescent="0.2">
      <c r="A59" s="6"/>
      <c r="B59" s="100"/>
      <c r="C59" s="100"/>
      <c r="D59" s="100"/>
      <c r="E59" s="100"/>
      <c r="F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49" ht="16" customHeight="1" x14ac:dyDescent="0.2">
      <c r="A60" s="6"/>
      <c r="B60" s="100"/>
      <c r="C60" s="100"/>
      <c r="D60" s="100"/>
      <c r="E60" s="100"/>
      <c r="F60" s="100"/>
      <c r="G60" s="115" t="s">
        <v>157</v>
      </c>
      <c r="H60" s="114" t="s">
        <v>159</v>
      </c>
      <c r="I60" s="114" t="s">
        <v>162</v>
      </c>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ht="16" customHeight="1" x14ac:dyDescent="0.2">
      <c r="A61" s="6"/>
      <c r="B61" s="100"/>
      <c r="C61" s="100"/>
      <c r="D61" s="100"/>
      <c r="E61" s="100"/>
      <c r="F61" s="100"/>
      <c r="G61" s="17" t="s">
        <v>158</v>
      </c>
      <c r="H61" s="16" t="s">
        <v>160</v>
      </c>
      <c r="I61" s="15" t="s">
        <v>161</v>
      </c>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ht="16" customHeight="1" x14ac:dyDescent="0.2">
      <c r="A62" s="6"/>
      <c r="B62" s="100"/>
      <c r="C62" s="100"/>
      <c r="D62" s="100"/>
      <c r="E62" s="100"/>
      <c r="F62" s="100"/>
      <c r="G62" s="13">
        <v>1</v>
      </c>
      <c r="H62" s="12" t="s">
        <v>163</v>
      </c>
      <c r="I62" s="174">
        <v>1</v>
      </c>
      <c r="J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ht="16" customHeight="1" x14ac:dyDescent="0.2">
      <c r="A63" s="6"/>
      <c r="B63" s="100"/>
      <c r="C63" s="100"/>
      <c r="D63" s="100"/>
      <c r="E63" s="100"/>
      <c r="F63" s="100"/>
      <c r="G63" s="11">
        <v>2</v>
      </c>
      <c r="H63" s="417">
        <f>H10</f>
        <v>43009</v>
      </c>
      <c r="I63" s="117">
        <f>I62*(1+I10)</f>
        <v>1.02</v>
      </c>
      <c r="J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ht="16" customHeight="1" x14ac:dyDescent="0.2">
      <c r="A64" s="6"/>
      <c r="B64" s="100"/>
      <c r="F64" s="100"/>
      <c r="G64" s="11" t="s">
        <v>183</v>
      </c>
      <c r="H64" s="417">
        <f>H11</f>
        <v>43556</v>
      </c>
      <c r="I64" s="117">
        <f>I63*(1+I11)</f>
        <v>1.1067</v>
      </c>
      <c r="J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ht="16" customHeight="1" x14ac:dyDescent="0.2">
      <c r="A65" s="6"/>
      <c r="B65" s="100"/>
      <c r="F65" s="100"/>
      <c r="G65" s="88" t="s">
        <v>493</v>
      </c>
      <c r="H65" s="419">
        <f>H12</f>
        <v>43922</v>
      </c>
      <c r="I65" s="154">
        <f>I64*(1+I12)</f>
        <v>1.1454344999999999</v>
      </c>
      <c r="J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ht="16" customHeight="1" x14ac:dyDescent="0.2">
      <c r="A66" s="6"/>
      <c r="B66" s="100"/>
      <c r="F66" s="100"/>
      <c r="G66" s="160" t="s">
        <v>184</v>
      </c>
      <c r="H66" s="420">
        <f>H13</f>
        <v>44013</v>
      </c>
      <c r="I66" s="162">
        <f>I64*(1+$I$13)</f>
        <v>1.062432</v>
      </c>
      <c r="J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ht="16" customHeight="1" x14ac:dyDescent="0.2">
      <c r="A67" s="6"/>
      <c r="B67" s="100"/>
      <c r="F67" s="9"/>
      <c r="G67" s="163" t="s">
        <v>494</v>
      </c>
      <c r="H67" s="421">
        <f>H66</f>
        <v>44013</v>
      </c>
      <c r="I67" s="165">
        <f>I65*(1+$I$13)</f>
        <v>1.0996171199999998</v>
      </c>
      <c r="J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ht="16" customHeight="1" x14ac:dyDescent="0.2">
      <c r="A68" s="6"/>
      <c r="B68" s="100"/>
      <c r="F68" s="9"/>
      <c r="G68" s="11">
        <v>5</v>
      </c>
      <c r="H68" s="418">
        <f>H14</f>
        <v>44287</v>
      </c>
      <c r="I68" s="118">
        <f>I67*(1+I14)</f>
        <v>1.1545979759999998</v>
      </c>
      <c r="J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ht="16" customHeight="1" x14ac:dyDescent="0.2">
      <c r="A69" s="6"/>
      <c r="B69" s="100"/>
      <c r="F69" s="9"/>
      <c r="G69" s="11">
        <v>6</v>
      </c>
      <c r="H69" s="418">
        <f>H15</f>
        <v>44927</v>
      </c>
      <c r="I69" s="118">
        <f>I68*(1+I15)</f>
        <v>1.2007818950399998</v>
      </c>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ht="16" customHeight="1" x14ac:dyDescent="0.2">
      <c r="A70" s="6"/>
      <c r="B70" s="100"/>
      <c r="F70" s="9"/>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ht="16" customHeight="1" x14ac:dyDescent="0.2">
      <c r="A71" s="6" t="s">
        <v>7</v>
      </c>
      <c r="B71" s="632" t="s">
        <v>496</v>
      </c>
      <c r="C71" s="632"/>
      <c r="D71" s="632"/>
      <c r="E71" s="632"/>
      <c r="F71" s="632"/>
      <c r="G71" s="632"/>
      <c r="H71" s="632"/>
      <c r="I71" s="632"/>
      <c r="J71" s="100"/>
      <c r="K71" s="100"/>
      <c r="L71" s="472"/>
      <c r="M71" s="472"/>
      <c r="N71" s="472"/>
      <c r="O71" s="472"/>
      <c r="P71" s="472"/>
      <c r="Q71" s="472"/>
      <c r="R71" s="472"/>
      <c r="S71" s="472"/>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ht="16" customHeight="1" x14ac:dyDescent="0.2">
      <c r="A72" s="6"/>
      <c r="B72" s="632"/>
      <c r="C72" s="632"/>
      <c r="D72" s="632"/>
      <c r="E72" s="632"/>
      <c r="F72" s="632"/>
      <c r="G72" s="632"/>
      <c r="H72" s="632"/>
      <c r="I72" s="632"/>
      <c r="J72" s="100"/>
      <c r="K72" s="100"/>
      <c r="L72" s="100"/>
      <c r="M72" s="472"/>
      <c r="N72" s="472"/>
      <c r="O72" s="472"/>
      <c r="P72" s="472"/>
      <c r="Q72" s="472"/>
      <c r="R72" s="472"/>
      <c r="S72" s="472"/>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ht="16" customHeight="1" x14ac:dyDescent="0.2">
      <c r="A73" s="6"/>
      <c r="B73" s="632"/>
      <c r="C73" s="632"/>
      <c r="D73" s="632"/>
      <c r="E73" s="632"/>
      <c r="F73" s="632"/>
      <c r="G73" s="632"/>
      <c r="H73" s="632"/>
      <c r="I73" s="632"/>
      <c r="J73" s="100"/>
      <c r="K73" s="100"/>
      <c r="L73" s="396"/>
      <c r="M73" s="396"/>
      <c r="N73" s="396"/>
      <c r="O73" s="396"/>
      <c r="P73" s="396"/>
      <c r="Q73" s="396"/>
      <c r="R73" s="396"/>
      <c r="S73" s="396"/>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ht="16" customHeight="1" x14ac:dyDescent="0.2">
      <c r="A74" s="6"/>
      <c r="B74" s="54"/>
      <c r="C74" s="54"/>
      <c r="D74" s="54"/>
      <c r="E74" s="54"/>
      <c r="F74" s="54"/>
      <c r="G74" s="54"/>
      <c r="H74" s="54"/>
      <c r="I74" s="54"/>
      <c r="J74" s="100"/>
      <c r="K74" s="100"/>
      <c r="L74" s="396"/>
      <c r="M74" s="396"/>
      <c r="N74" s="396"/>
      <c r="O74" s="396"/>
      <c r="P74" s="396"/>
      <c r="Q74" s="396"/>
      <c r="R74" s="396"/>
      <c r="S74" s="396"/>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ht="16" customHeight="1" x14ac:dyDescent="0.2">
      <c r="A75" s="6"/>
      <c r="B75" s="54"/>
      <c r="C75" s="54"/>
      <c r="D75" s="54"/>
      <c r="E75" s="54"/>
      <c r="F75" s="54"/>
      <c r="G75" s="54"/>
      <c r="H75" s="54"/>
      <c r="I75" s="54"/>
      <c r="J75" s="100"/>
      <c r="K75" s="100"/>
      <c r="L75" s="396"/>
      <c r="M75" s="396"/>
      <c r="N75" s="396"/>
      <c r="O75" s="396"/>
      <c r="P75" s="396"/>
      <c r="Q75" s="396"/>
      <c r="R75" s="396"/>
      <c r="S75" s="396"/>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ht="16" customHeight="1" x14ac:dyDescent="0.2">
      <c r="A76" s="6"/>
      <c r="B76" s="54"/>
      <c r="C76" s="54"/>
      <c r="D76" s="54"/>
      <c r="E76" s="54"/>
      <c r="F76" s="54"/>
      <c r="G76" s="54"/>
      <c r="H76" s="54"/>
      <c r="I76" s="54"/>
      <c r="J76" s="100"/>
      <c r="K76" s="100"/>
      <c r="L76" s="396"/>
      <c r="M76" s="396"/>
      <c r="N76" s="396"/>
      <c r="O76" s="396"/>
      <c r="P76" s="396"/>
      <c r="Q76" s="396"/>
      <c r="R76" s="396"/>
      <c r="S76" s="396"/>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ht="16" customHeight="1" x14ac:dyDescent="0.2">
      <c r="A77" s="6"/>
      <c r="B77" s="54"/>
      <c r="C77" s="54"/>
      <c r="D77" s="54"/>
      <c r="E77" s="54"/>
      <c r="F77" s="54"/>
      <c r="G77" s="54"/>
      <c r="H77" s="54"/>
      <c r="I77" s="54"/>
      <c r="J77" s="100"/>
      <c r="K77" s="100"/>
      <c r="L77" s="396"/>
      <c r="M77" s="396"/>
      <c r="N77" s="396"/>
      <c r="O77" s="396"/>
      <c r="P77" s="396"/>
      <c r="Q77" s="396"/>
      <c r="R77" s="396"/>
      <c r="S77" s="396"/>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ht="16" customHeight="1" x14ac:dyDescent="0.2">
      <c r="A78" s="6"/>
      <c r="B78" s="100"/>
      <c r="C78" s="100"/>
      <c r="D78" s="100"/>
      <c r="E78" s="100"/>
      <c r="F78" s="100"/>
      <c r="G78" s="100"/>
      <c r="H78" s="100"/>
      <c r="I78" s="100"/>
      <c r="J78" s="100"/>
      <c r="K78" s="100"/>
      <c r="L78" s="74"/>
      <c r="M78" s="74"/>
      <c r="N78" s="74"/>
      <c r="O78" s="74"/>
      <c r="P78" s="74"/>
      <c r="Q78" s="74"/>
      <c r="R78" s="74"/>
      <c r="S78" s="74"/>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ht="16" customHeight="1" x14ac:dyDescent="0.2">
      <c r="A79" s="6"/>
      <c r="B79" s="100"/>
      <c r="C79" s="100"/>
      <c r="D79" s="100"/>
      <c r="E79" s="100"/>
      <c r="F79" s="100"/>
      <c r="G79" s="100"/>
      <c r="H79" s="100"/>
      <c r="I79" s="100"/>
      <c r="J79" s="100"/>
      <c r="K79" s="100"/>
      <c r="L79" s="459"/>
      <c r="M79" s="74"/>
      <c r="N79" s="74"/>
      <c r="O79" s="74"/>
      <c r="P79" s="74"/>
      <c r="Q79" s="74"/>
      <c r="R79" s="74"/>
      <c r="S79" s="74"/>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ht="16" customHeight="1" x14ac:dyDescent="0.2">
      <c r="A80" s="6"/>
      <c r="B80" s="100"/>
      <c r="C80" s="100"/>
      <c r="D80" s="100"/>
      <c r="E80" s="100"/>
      <c r="F80" s="100"/>
      <c r="G80" s="100"/>
      <c r="H80" s="100"/>
      <c r="I80" s="100"/>
      <c r="J80" s="100"/>
      <c r="K80" s="100"/>
      <c r="L80" s="74"/>
      <c r="M80" s="74"/>
      <c r="N80" s="74"/>
      <c r="O80" s="74"/>
      <c r="P80" s="74"/>
      <c r="Q80" s="74"/>
      <c r="R80" s="74"/>
      <c r="S80" s="74"/>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49" ht="16" customHeight="1" x14ac:dyDescent="0.2">
      <c r="A81" s="6"/>
      <c r="B81" s="100"/>
      <c r="C81" s="100"/>
      <c r="D81" s="100"/>
      <c r="E81" s="100"/>
      <c r="F81" s="100"/>
      <c r="G81" s="100"/>
      <c r="H81" s="100"/>
      <c r="I81" s="100"/>
      <c r="J81" s="100"/>
      <c r="K81" s="100"/>
      <c r="L81" s="472"/>
      <c r="M81" s="472"/>
      <c r="N81" s="472"/>
      <c r="O81" s="472"/>
      <c r="P81" s="472"/>
      <c r="Q81" s="472"/>
      <c r="R81" s="472"/>
      <c r="S81" s="472"/>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49" ht="16" customHeight="1" x14ac:dyDescent="0.2">
      <c r="A82" s="6"/>
      <c r="B82" s="140" t="s">
        <v>36</v>
      </c>
      <c r="C82" s="100"/>
      <c r="D82" s="100"/>
      <c r="E82" s="100"/>
      <c r="F82" s="100"/>
      <c r="G82" s="100"/>
      <c r="H82" s="100"/>
      <c r="I82" s="100"/>
      <c r="J82" s="100"/>
      <c r="K82" s="100"/>
      <c r="L82" s="472"/>
      <c r="M82" s="472"/>
      <c r="N82" s="472"/>
      <c r="O82" s="472"/>
      <c r="P82" s="472"/>
      <c r="Q82" s="472"/>
      <c r="R82" s="472"/>
      <c r="S82" s="472"/>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49" ht="16" customHeight="1" x14ac:dyDescent="0.2">
      <c r="A83" s="6"/>
      <c r="B83" s="138" t="s">
        <v>172</v>
      </c>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49" ht="16" customHeight="1" x14ac:dyDescent="0.2">
      <c r="A84" s="6"/>
      <c r="B84" s="100"/>
      <c r="C84" s="74"/>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49" ht="16" customHeight="1" x14ac:dyDescent="0.2">
      <c r="A85" s="6"/>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49" ht="16" customHeight="1" x14ac:dyDescent="0.2">
      <c r="A86" s="6"/>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49" ht="16" customHeight="1" x14ac:dyDescent="0.2">
      <c r="A87" s="6"/>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49" ht="16" customHeight="1" x14ac:dyDescent="0.2">
      <c r="A88" s="6"/>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49" ht="16" customHeight="1" x14ac:dyDescent="0.2">
      <c r="A89" s="6"/>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49" ht="16" customHeight="1" x14ac:dyDescent="0.2">
      <c r="A90" s="6"/>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row>
    <row r="91" spans="1:49" ht="16" customHeight="1" x14ac:dyDescent="0.2">
      <c r="A91" s="6"/>
      <c r="B91" s="100"/>
      <c r="C91" s="100"/>
      <c r="D91" s="100"/>
      <c r="E91" s="100"/>
      <c r="F91" s="100"/>
      <c r="G91" s="100"/>
      <c r="H91" s="100"/>
      <c r="I91" s="7"/>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row>
    <row r="92" spans="1:49" ht="16" customHeight="1" x14ac:dyDescent="0.2">
      <c r="A92" s="6"/>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row>
    <row r="93" spans="1:49" ht="16" customHeight="1" x14ac:dyDescent="0.2">
      <c r="A93" s="6"/>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row>
    <row r="94" spans="1:49" ht="16" customHeight="1" x14ac:dyDescent="0.2">
      <c r="A94" s="6"/>
      <c r="B94" s="7"/>
      <c r="C94" s="7"/>
      <c r="D94" s="7"/>
      <c r="E94" s="7"/>
      <c r="F94" s="7"/>
      <c r="G94" s="7"/>
      <c r="H94" s="7"/>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row>
    <row r="95" spans="1:49" ht="16" customHeight="1" x14ac:dyDescent="0.2">
      <c r="A95" s="6"/>
      <c r="C95" s="7"/>
      <c r="D95" s="7"/>
      <c r="E95" s="7"/>
      <c r="F95" s="7"/>
      <c r="G95" s="7"/>
      <c r="H95" s="7"/>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row>
    <row r="96" spans="1:49" ht="16" customHeight="1" thickBot="1" x14ac:dyDescent="0.25">
      <c r="A96" s="6"/>
      <c r="C96" s="7"/>
      <c r="D96" s="7"/>
      <c r="E96" s="7"/>
      <c r="F96" s="7"/>
      <c r="G96" s="7"/>
      <c r="H96" s="7"/>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row>
    <row r="97" spans="1:50" ht="16" customHeight="1" x14ac:dyDescent="0.2">
      <c r="A97" s="6"/>
      <c r="B97" s="416" t="s">
        <v>164</v>
      </c>
      <c r="C97" s="668" t="s">
        <v>166</v>
      </c>
      <c r="D97" s="669"/>
      <c r="E97" s="669"/>
      <c r="F97" s="669"/>
      <c r="G97" s="669"/>
      <c r="H97" s="669"/>
      <c r="I97" s="669"/>
      <c r="J97" s="670"/>
      <c r="K97" s="114" t="s">
        <v>167</v>
      </c>
      <c r="L97" s="147" t="s">
        <v>169</v>
      </c>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row>
    <row r="98" spans="1:50" ht="16" customHeight="1" x14ac:dyDescent="0.2">
      <c r="A98" s="6"/>
      <c r="B98" s="121" t="s">
        <v>10</v>
      </c>
      <c r="C98" s="123">
        <v>1</v>
      </c>
      <c r="D98" s="124">
        <v>2</v>
      </c>
      <c r="E98" s="124" t="s">
        <v>183</v>
      </c>
      <c r="F98" s="155" t="s">
        <v>493</v>
      </c>
      <c r="G98" s="166" t="s">
        <v>184</v>
      </c>
      <c r="H98" s="167" t="s">
        <v>494</v>
      </c>
      <c r="I98" s="124">
        <v>5</v>
      </c>
      <c r="J98" s="125">
        <v>6</v>
      </c>
      <c r="K98" s="124" t="s">
        <v>165</v>
      </c>
      <c r="L98" s="148" t="s">
        <v>170</v>
      </c>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row>
    <row r="99" spans="1:50" ht="16" customHeight="1" x14ac:dyDescent="0.2">
      <c r="A99" s="6"/>
      <c r="B99" s="119">
        <f>C10</f>
        <v>2018</v>
      </c>
      <c r="C99" s="130">
        <f>0.5*0.5*0.25</f>
        <v>6.25E-2</v>
      </c>
      <c r="D99" s="131">
        <f>1-C99</f>
        <v>0.9375</v>
      </c>
      <c r="E99" s="131"/>
      <c r="F99" s="158"/>
      <c r="G99" s="168"/>
      <c r="H99" s="169"/>
      <c r="I99" s="423"/>
      <c r="J99" s="132"/>
      <c r="K99" s="136">
        <f>SUMPRODUCT(C99:J99,$C$104:$J$104)</f>
        <v>1.01875</v>
      </c>
      <c r="L99" s="424">
        <f>$J$104/K99</f>
        <v>1.17868161476319</v>
      </c>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row>
    <row r="100" spans="1:50" ht="16" customHeight="1" x14ac:dyDescent="0.2">
      <c r="A100" s="6"/>
      <c r="B100" s="120">
        <f>C11</f>
        <v>2019</v>
      </c>
      <c r="C100" s="130"/>
      <c r="D100" s="131">
        <f>0.5*(0.25+0.75)*1</f>
        <v>0.5</v>
      </c>
      <c r="E100" s="131">
        <f>0.5*(0.25+0.75)*1</f>
        <v>0.5</v>
      </c>
      <c r="F100" s="158"/>
      <c r="G100" s="168"/>
      <c r="H100" s="169"/>
      <c r="I100" s="423"/>
      <c r="J100" s="132"/>
      <c r="K100" s="136">
        <f>SUMPRODUCT(C100:J100,$C$104:$J$104)</f>
        <v>1.06335</v>
      </c>
      <c r="L100" s="149">
        <f t="shared" ref="L100:L103" si="0">$J$104/K100</f>
        <v>1.129244270503597</v>
      </c>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row>
    <row r="101" spans="1:50" ht="16" customHeight="1" x14ac:dyDescent="0.2">
      <c r="A101" s="6"/>
      <c r="B101" s="120">
        <f>C12</f>
        <v>2020</v>
      </c>
      <c r="C101" s="130"/>
      <c r="D101" s="131"/>
      <c r="E101" s="131">
        <f>0.5-F101</f>
        <v>0.4375</v>
      </c>
      <c r="F101" s="158">
        <f>0.5*0.25*0.5</f>
        <v>6.25E-2</v>
      </c>
      <c r="G101" s="168">
        <f>0.5*0.25*0.5</f>
        <v>6.25E-2</v>
      </c>
      <c r="H101" s="169">
        <f>0.5-G101</f>
        <v>0.4375</v>
      </c>
      <c r="I101" s="423"/>
      <c r="J101" s="132"/>
      <c r="K101" s="136">
        <f t="shared" ref="K101" si="1">SUMPRODUCT(C101:J101,$C$104:$J$104)</f>
        <v>1.1032553962499998</v>
      </c>
      <c r="L101" s="149">
        <f t="shared" si="0"/>
        <v>1.0883988413938384</v>
      </c>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row>
    <row r="102" spans="1:50" ht="16" customHeight="1" x14ac:dyDescent="0.2">
      <c r="A102" s="6"/>
      <c r="B102" s="120">
        <f>C13</f>
        <v>2021</v>
      </c>
      <c r="C102" s="130"/>
      <c r="D102" s="131"/>
      <c r="E102" s="131"/>
      <c r="F102" s="158"/>
      <c r="G102" s="168"/>
      <c r="H102" s="169">
        <f>0.5*(0.25+0.75)*1</f>
        <v>0.5</v>
      </c>
      <c r="I102" s="423">
        <f>0.5*(0.25+0.75)*1</f>
        <v>0.5</v>
      </c>
      <c r="J102" s="132"/>
      <c r="K102" s="136">
        <f>SUMPRODUCT(C102:J102,$C$104:$J$104)</f>
        <v>1.1271075479999997</v>
      </c>
      <c r="L102" s="149">
        <f t="shared" si="0"/>
        <v>1.0653658536585366</v>
      </c>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row>
    <row r="103" spans="1:50" ht="16" customHeight="1" thickBot="1" x14ac:dyDescent="0.25">
      <c r="A103" s="6"/>
      <c r="B103" s="427">
        <f>C14</f>
        <v>2022</v>
      </c>
      <c r="C103" s="428"/>
      <c r="D103" s="429"/>
      <c r="E103" s="429"/>
      <c r="F103" s="430"/>
      <c r="G103" s="431"/>
      <c r="H103" s="432"/>
      <c r="I103" s="433">
        <v>1</v>
      </c>
      <c r="J103" s="434"/>
      <c r="K103" s="435">
        <f>SUMPRODUCT(C103:J103,$C$104:$J$104)</f>
        <v>1.1545979759999998</v>
      </c>
      <c r="L103" s="436">
        <f t="shared" si="0"/>
        <v>1.04</v>
      </c>
      <c r="M103" s="414"/>
      <c r="N103" s="414"/>
      <c r="O103" s="414"/>
      <c r="P103" s="414"/>
      <c r="Q103" s="414"/>
      <c r="R103" s="414"/>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row>
    <row r="104" spans="1:50" ht="16" customHeight="1" x14ac:dyDescent="0.2">
      <c r="A104" s="6"/>
      <c r="B104" s="416" t="s">
        <v>165</v>
      </c>
      <c r="C104" s="437">
        <f>I62</f>
        <v>1</v>
      </c>
      <c r="D104" s="438">
        <f>I63</f>
        <v>1.02</v>
      </c>
      <c r="E104" s="438">
        <f>I64</f>
        <v>1.1067</v>
      </c>
      <c r="F104" s="439">
        <f>I65</f>
        <v>1.1454344999999999</v>
      </c>
      <c r="G104" s="440">
        <f>I66</f>
        <v>1.062432</v>
      </c>
      <c r="H104" s="441">
        <f>I67</f>
        <v>1.0996171199999998</v>
      </c>
      <c r="I104" s="438">
        <f>I68</f>
        <v>1.1545979759999998</v>
      </c>
      <c r="J104" s="442">
        <f>I69</f>
        <v>1.2007818950399998</v>
      </c>
      <c r="K104" s="425"/>
      <c r="L104" s="414"/>
      <c r="M104" s="414"/>
      <c r="N104" s="414"/>
      <c r="O104" s="414"/>
      <c r="P104" s="414"/>
      <c r="Q104" s="414"/>
      <c r="R104" s="414"/>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row>
    <row r="105" spans="1:50" ht="16" customHeight="1" x14ac:dyDescent="0.2">
      <c r="A105" s="6"/>
      <c r="B105" s="414"/>
      <c r="C105" s="414"/>
      <c r="D105" s="414"/>
      <c r="E105" s="414"/>
      <c r="F105" s="414"/>
      <c r="G105" s="414"/>
      <c r="H105" s="414"/>
      <c r="I105" s="414"/>
      <c r="J105" s="414"/>
      <c r="K105" s="414"/>
      <c r="L105" s="2"/>
      <c r="M105" s="414"/>
      <c r="N105" s="414"/>
      <c r="O105" s="414"/>
      <c r="P105" s="414"/>
      <c r="Q105" s="414"/>
      <c r="R105" s="414"/>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row>
    <row r="106" spans="1:50" ht="16" customHeight="1" x14ac:dyDescent="0.2">
      <c r="A106" s="6" t="s">
        <v>6</v>
      </c>
      <c r="B106" s="632" t="s">
        <v>506</v>
      </c>
      <c r="C106" s="632"/>
      <c r="D106" s="632"/>
      <c r="E106" s="632"/>
      <c r="F106" s="632"/>
      <c r="G106" s="632"/>
      <c r="H106" s="632"/>
      <c r="I106" s="632"/>
      <c r="J106" s="414"/>
      <c r="K106" s="414"/>
      <c r="L106" s="414"/>
      <c r="M106" s="414"/>
      <c r="N106" s="414"/>
      <c r="O106" s="414"/>
      <c r="P106" s="414"/>
      <c r="Q106" s="414"/>
      <c r="R106" s="414"/>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row>
    <row r="107" spans="1:50" ht="16" customHeight="1" x14ac:dyDescent="0.2">
      <c r="A107" s="6"/>
      <c r="B107" s="632"/>
      <c r="C107" s="632"/>
      <c r="D107" s="632"/>
      <c r="E107" s="632"/>
      <c r="F107" s="632"/>
      <c r="G107" s="632"/>
      <c r="H107" s="632"/>
      <c r="I107" s="632"/>
      <c r="J107" s="414"/>
      <c r="K107" s="414"/>
      <c r="L107" s="414"/>
      <c r="M107" s="414"/>
      <c r="N107" s="414"/>
      <c r="O107" s="414"/>
      <c r="P107" s="414"/>
      <c r="Q107" s="414"/>
      <c r="R107" s="414"/>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row>
    <row r="108" spans="1:50" ht="16" customHeight="1" x14ac:dyDescent="0.2">
      <c r="A108" s="6"/>
      <c r="B108" s="632"/>
      <c r="C108" s="632"/>
      <c r="D108" s="632"/>
      <c r="E108" s="632"/>
      <c r="F108" s="632"/>
      <c r="G108" s="632"/>
      <c r="H108" s="632"/>
      <c r="I108" s="632"/>
      <c r="J108" s="414"/>
      <c r="K108" s="414"/>
      <c r="L108" s="414"/>
      <c r="M108" s="414"/>
      <c r="N108" s="414"/>
      <c r="O108" s="414"/>
      <c r="P108" s="414"/>
      <c r="Q108" s="414"/>
      <c r="R108" s="414"/>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row>
    <row r="109" spans="1:50" ht="16" customHeight="1" x14ac:dyDescent="0.2">
      <c r="A109" s="6"/>
      <c r="B109" s="414"/>
      <c r="C109" s="414"/>
      <c r="D109" s="414"/>
      <c r="E109" s="414"/>
      <c r="F109" s="414"/>
      <c r="G109" s="414"/>
      <c r="H109" s="414"/>
      <c r="I109" s="414"/>
      <c r="J109" s="414"/>
      <c r="K109" s="414"/>
      <c r="L109" s="414"/>
      <c r="M109" s="414"/>
      <c r="N109" s="414"/>
      <c r="O109" s="414"/>
      <c r="P109" s="414"/>
      <c r="Q109" s="414"/>
      <c r="R109" s="414"/>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row>
    <row r="110" spans="1:50" ht="16" customHeight="1" x14ac:dyDescent="0.2">
      <c r="A110" s="6"/>
      <c r="B110" s="414"/>
      <c r="C110" s="414"/>
      <c r="D110" s="414"/>
      <c r="E110" s="414"/>
      <c r="F110" s="414"/>
      <c r="G110" s="414"/>
      <c r="H110" s="414"/>
      <c r="I110" s="414"/>
      <c r="J110" s="414"/>
      <c r="K110" s="414"/>
      <c r="L110" s="414"/>
      <c r="M110" s="414"/>
      <c r="N110" s="414"/>
      <c r="O110" s="414"/>
      <c r="P110" s="414"/>
      <c r="Q110" s="414"/>
      <c r="R110" s="414"/>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row>
    <row r="111" spans="1:50" ht="16" customHeight="1" x14ac:dyDescent="0.2">
      <c r="A111" s="6"/>
      <c r="B111" s="414"/>
      <c r="C111" s="414"/>
      <c r="D111" s="414"/>
      <c r="E111" s="414"/>
      <c r="F111" s="414"/>
      <c r="G111" s="414"/>
      <c r="H111" s="414"/>
      <c r="I111" s="414"/>
      <c r="J111" s="414"/>
      <c r="K111" s="414"/>
      <c r="L111" s="414"/>
      <c r="M111" s="414"/>
      <c r="N111" s="414"/>
      <c r="O111" s="414"/>
      <c r="P111" s="414"/>
      <c r="Q111" s="414"/>
      <c r="R111" s="414"/>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row>
    <row r="112" spans="1:50" ht="16" customHeight="1" x14ac:dyDescent="0.2">
      <c r="A112" s="6"/>
      <c r="B112" s="414"/>
      <c r="C112" s="414"/>
      <c r="D112" s="414"/>
      <c r="E112" s="414"/>
      <c r="F112" s="414"/>
      <c r="G112" s="414"/>
      <c r="H112" s="414"/>
      <c r="I112" s="414"/>
      <c r="J112" s="414"/>
      <c r="K112" s="414"/>
      <c r="L112" s="414"/>
      <c r="M112" s="414"/>
      <c r="N112" s="414"/>
      <c r="O112" s="414"/>
      <c r="P112" s="414"/>
      <c r="Q112" s="414"/>
      <c r="R112" s="414"/>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row>
    <row r="113" spans="1:49" ht="16" customHeight="1" x14ac:dyDescent="0.2">
      <c r="A113" s="6"/>
      <c r="B113" s="414"/>
      <c r="C113" s="414"/>
      <c r="D113" s="414"/>
      <c r="E113" s="414"/>
      <c r="F113" s="414"/>
      <c r="G113" s="414"/>
      <c r="H113" s="414"/>
      <c r="I113" s="414"/>
      <c r="J113" s="414"/>
      <c r="K113" s="414"/>
      <c r="L113" s="414"/>
      <c r="M113" s="414"/>
      <c r="N113" s="414"/>
      <c r="O113" s="414"/>
      <c r="P113" s="414"/>
      <c r="Q113" s="414"/>
      <c r="R113" s="414"/>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row>
    <row r="114" spans="1:49" ht="16" customHeight="1" x14ac:dyDescent="0.2">
      <c r="A114" s="6"/>
      <c r="B114" s="414"/>
      <c r="C114" s="414"/>
      <c r="D114" s="414"/>
      <c r="E114" s="414"/>
      <c r="F114" s="414"/>
      <c r="G114" s="414"/>
      <c r="H114" s="414"/>
      <c r="I114" s="414"/>
      <c r="J114" s="414"/>
      <c r="K114" s="414"/>
      <c r="L114" s="414"/>
      <c r="M114" s="414"/>
      <c r="N114" s="414"/>
      <c r="O114" s="414"/>
      <c r="P114" s="414"/>
      <c r="Q114" s="414"/>
      <c r="R114" s="414"/>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row>
    <row r="115" spans="1:49" ht="16" customHeight="1" x14ac:dyDescent="0.2">
      <c r="A115" s="6"/>
      <c r="B115" s="414"/>
      <c r="C115" s="414"/>
      <c r="D115" s="414"/>
      <c r="E115" s="74"/>
      <c r="F115" s="426" t="s">
        <v>352</v>
      </c>
      <c r="G115" s="453">
        <v>44743</v>
      </c>
      <c r="H115" s="414"/>
      <c r="I115" s="414"/>
      <c r="J115" s="414"/>
      <c r="K115" s="414"/>
      <c r="L115" s="414"/>
      <c r="M115" s="414"/>
      <c r="N115" s="414"/>
      <c r="O115" s="414"/>
      <c r="P115" s="414"/>
      <c r="Q115" s="414"/>
      <c r="R115" s="414"/>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row>
    <row r="116" spans="1:49" ht="16" customHeight="1" x14ac:dyDescent="0.2">
      <c r="A116" s="6"/>
      <c r="B116" s="414"/>
      <c r="C116" s="414"/>
      <c r="D116" s="414"/>
      <c r="E116" s="74"/>
      <c r="F116" s="426" t="s">
        <v>353</v>
      </c>
      <c r="G116" s="453">
        <v>45474</v>
      </c>
      <c r="H116" s="414"/>
      <c r="I116" s="414"/>
      <c r="J116" s="414"/>
      <c r="K116" s="414"/>
      <c r="L116" s="414"/>
      <c r="M116" s="414"/>
      <c r="N116" s="414"/>
      <c r="O116" s="414"/>
      <c r="P116" s="414"/>
      <c r="Q116" s="414"/>
      <c r="R116" s="414"/>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row>
    <row r="117" spans="1:49" ht="16" customHeight="1" x14ac:dyDescent="0.2">
      <c r="A117" s="6"/>
      <c r="B117" s="414"/>
      <c r="C117" s="414"/>
      <c r="D117" s="414"/>
      <c r="E117" s="455"/>
      <c r="F117" s="456" t="s">
        <v>354</v>
      </c>
      <c r="G117" s="457">
        <f>YEARFRAC(G115,G116)</f>
        <v>2</v>
      </c>
      <c r="H117" s="414"/>
      <c r="I117" s="414"/>
      <c r="J117" s="414"/>
      <c r="K117" s="414"/>
      <c r="L117" s="414"/>
      <c r="M117" s="414"/>
      <c r="N117" s="414"/>
      <c r="O117" s="414"/>
      <c r="P117" s="414"/>
      <c r="Q117" s="414"/>
      <c r="R117" s="414"/>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row>
    <row r="118" spans="1:49" ht="16" customHeight="1" x14ac:dyDescent="0.2">
      <c r="A118" s="6"/>
      <c r="B118" s="414"/>
      <c r="C118" s="414"/>
      <c r="D118" s="414"/>
      <c r="E118" s="414" t="s">
        <v>345</v>
      </c>
      <c r="F118" s="414"/>
      <c r="G118" s="454">
        <f>(1+$F$33)^G117</f>
        <v>1.0424409999999997</v>
      </c>
      <c r="H118" s="414"/>
      <c r="I118" s="414"/>
      <c r="J118" s="414"/>
      <c r="K118" s="414"/>
      <c r="L118" s="414"/>
      <c r="M118" s="414"/>
      <c r="N118" s="414"/>
      <c r="O118" s="414"/>
      <c r="P118" s="414"/>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row>
    <row r="119" spans="1:49" ht="16" customHeight="1" x14ac:dyDescent="0.2">
      <c r="A119" s="6"/>
      <c r="B119" s="7"/>
      <c r="C119" s="7"/>
      <c r="D119" s="7"/>
      <c r="E119" s="7"/>
      <c r="F119" s="7"/>
      <c r="G119" s="7"/>
      <c r="H119" s="7"/>
      <c r="I119" s="414"/>
      <c r="J119" s="414"/>
      <c r="K119" s="414"/>
      <c r="L119" s="414"/>
      <c r="M119" s="414"/>
      <c r="N119" s="414"/>
      <c r="O119" s="414"/>
      <c r="P119" s="414"/>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row>
    <row r="120" spans="1:49" ht="16" customHeight="1" x14ac:dyDescent="0.2">
      <c r="A120" s="6"/>
      <c r="B120" s="7"/>
      <c r="C120" s="7"/>
      <c r="D120" s="7"/>
      <c r="E120" s="7"/>
      <c r="F120" s="7"/>
      <c r="G120" s="7"/>
      <c r="H120" s="7"/>
      <c r="I120" s="414"/>
      <c r="J120" s="414"/>
      <c r="K120" s="414"/>
      <c r="L120" s="414"/>
      <c r="M120" s="414"/>
      <c r="N120" s="414"/>
      <c r="O120" s="414"/>
      <c r="P120" s="414"/>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row>
    <row r="121" spans="1:49" ht="16" customHeight="1" x14ac:dyDescent="0.2">
      <c r="A121" s="6"/>
      <c r="B121" s="7"/>
      <c r="C121" s="7"/>
      <c r="D121" s="7"/>
      <c r="E121" s="7"/>
      <c r="F121" s="7"/>
      <c r="G121" s="7"/>
      <c r="H121" s="7"/>
      <c r="I121" s="414"/>
      <c r="J121" s="414"/>
      <c r="K121" s="414"/>
      <c r="L121" s="414"/>
      <c r="M121" s="414"/>
      <c r="N121" s="414"/>
      <c r="O121" s="414"/>
      <c r="P121" s="414"/>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row>
    <row r="122" spans="1:49" ht="16" customHeight="1" x14ac:dyDescent="0.2">
      <c r="A122" s="6"/>
      <c r="B122" s="7"/>
      <c r="C122" s="7"/>
      <c r="D122" s="7"/>
      <c r="E122" s="7"/>
      <c r="F122" s="7"/>
      <c r="G122" s="7"/>
      <c r="H122" s="7"/>
      <c r="I122" s="414"/>
      <c r="J122" s="414"/>
      <c r="K122" s="414"/>
      <c r="L122" s="2"/>
      <c r="M122" s="414"/>
      <c r="N122" s="414"/>
      <c r="O122" s="414"/>
      <c r="P122" s="414"/>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row>
    <row r="123" spans="1:49" ht="16" customHeight="1" x14ac:dyDescent="0.2">
      <c r="A123" s="6"/>
      <c r="B123" s="7"/>
      <c r="C123" s="7"/>
      <c r="D123" s="7"/>
      <c r="E123" s="7"/>
      <c r="F123" s="7"/>
      <c r="G123" s="7"/>
      <c r="H123" s="7"/>
      <c r="I123" s="414"/>
      <c r="J123" s="414"/>
      <c r="K123" s="414"/>
      <c r="L123" s="2"/>
      <c r="M123" s="414"/>
      <c r="N123" s="414"/>
      <c r="O123" s="414"/>
      <c r="P123" s="414"/>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row>
    <row r="124" spans="1:49" ht="16" customHeight="1" x14ac:dyDescent="0.2">
      <c r="A124" s="6"/>
      <c r="B124" s="7"/>
      <c r="C124" s="7"/>
      <c r="D124" s="7"/>
      <c r="E124" s="7"/>
      <c r="F124" s="7"/>
      <c r="G124" s="7"/>
      <c r="H124" s="7"/>
      <c r="I124" s="414"/>
      <c r="J124" s="414"/>
      <c r="K124" s="414"/>
      <c r="L124" s="2"/>
      <c r="M124" s="414"/>
      <c r="N124" s="414"/>
      <c r="O124" s="414"/>
      <c r="P124" s="414"/>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row>
    <row r="125" spans="1:49" ht="16" customHeight="1" x14ac:dyDescent="0.2">
      <c r="A125" s="6"/>
      <c r="B125" s="7"/>
      <c r="C125" s="7"/>
      <c r="D125" s="7"/>
      <c r="E125" s="7"/>
      <c r="F125" s="7"/>
      <c r="G125" s="7"/>
      <c r="H125" s="7"/>
      <c r="I125" s="414"/>
      <c r="J125" s="414"/>
      <c r="K125" s="414"/>
      <c r="L125" s="2"/>
      <c r="M125" s="414"/>
      <c r="N125" s="414"/>
      <c r="O125" s="414"/>
      <c r="P125" s="414"/>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row>
    <row r="126" spans="1:49" ht="16" customHeight="1" x14ac:dyDescent="0.2">
      <c r="A126" s="6"/>
      <c r="B126" s="7"/>
      <c r="C126" s="7"/>
      <c r="D126" s="7"/>
      <c r="E126" s="7"/>
      <c r="F126" s="7"/>
      <c r="G126" s="7"/>
      <c r="H126" s="7"/>
      <c r="I126" s="414"/>
      <c r="J126" s="414"/>
      <c r="K126" s="414"/>
      <c r="L126" s="2"/>
      <c r="M126" s="414"/>
      <c r="N126" s="414"/>
      <c r="O126" s="414"/>
      <c r="P126" s="414"/>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row>
    <row r="127" spans="1:49" ht="16" customHeight="1" x14ac:dyDescent="0.2">
      <c r="A127" s="6"/>
      <c r="B127" s="7"/>
      <c r="C127" s="7"/>
      <c r="D127" s="7"/>
      <c r="E127" s="7"/>
      <c r="F127" s="7"/>
      <c r="G127" s="7"/>
      <c r="H127" s="7"/>
      <c r="I127" s="414"/>
      <c r="J127" s="414"/>
      <c r="K127" s="414"/>
      <c r="L127" s="2"/>
      <c r="M127" s="414"/>
      <c r="N127" s="414"/>
      <c r="O127" s="414"/>
      <c r="P127" s="414"/>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row>
    <row r="128" spans="1:49" ht="16" customHeight="1" x14ac:dyDescent="0.2">
      <c r="A128" s="6"/>
      <c r="B128" s="7"/>
      <c r="C128" s="7"/>
      <c r="D128" s="7"/>
      <c r="E128" s="7"/>
      <c r="F128" s="7"/>
      <c r="G128" s="7"/>
      <c r="H128" s="7"/>
      <c r="I128" s="414"/>
      <c r="J128" s="414"/>
      <c r="K128" s="414"/>
      <c r="L128" s="2"/>
      <c r="M128" s="414"/>
      <c r="N128" s="414"/>
      <c r="O128" s="414"/>
      <c r="P128" s="414"/>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row>
    <row r="129" spans="1:50" ht="16" customHeight="1" x14ac:dyDescent="0.2">
      <c r="A129" s="6"/>
      <c r="B129" s="7"/>
      <c r="C129" s="7"/>
      <c r="D129" s="7"/>
      <c r="E129" s="7"/>
      <c r="F129" s="7"/>
      <c r="G129" s="7"/>
      <c r="H129" s="7"/>
      <c r="I129" s="414"/>
      <c r="J129" s="414"/>
      <c r="K129" s="414"/>
      <c r="L129" s="2"/>
      <c r="M129" s="414"/>
      <c r="N129" s="414"/>
      <c r="O129" s="414"/>
      <c r="P129" s="414"/>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row>
    <row r="130" spans="1:50" ht="16" customHeight="1" x14ac:dyDescent="0.2">
      <c r="A130" s="6"/>
      <c r="B130" s="7"/>
      <c r="C130" s="7"/>
      <c r="D130" s="7"/>
      <c r="E130" s="7"/>
      <c r="F130" s="7"/>
      <c r="G130" s="7"/>
      <c r="H130" s="7"/>
      <c r="I130" s="414"/>
      <c r="J130" s="414"/>
      <c r="K130" s="414"/>
      <c r="L130" s="2"/>
      <c r="M130" s="414"/>
      <c r="N130" s="414"/>
      <c r="O130" s="414"/>
      <c r="P130" s="414"/>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row>
    <row r="131" spans="1:50" ht="16" customHeight="1" x14ac:dyDescent="0.2">
      <c r="A131" s="6"/>
      <c r="B131" s="7"/>
      <c r="C131" s="7"/>
      <c r="D131" s="7"/>
      <c r="E131" s="7"/>
      <c r="F131" s="7"/>
      <c r="G131" s="7"/>
      <c r="H131" s="7"/>
      <c r="I131" s="414"/>
      <c r="J131" s="414"/>
      <c r="K131" s="414"/>
      <c r="L131" s="2"/>
      <c r="M131" s="414"/>
      <c r="N131" s="414"/>
      <c r="O131" s="414"/>
      <c r="P131" s="414"/>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row>
    <row r="132" spans="1:50" ht="16" customHeight="1" x14ac:dyDescent="0.2">
      <c r="A132" s="6"/>
      <c r="B132" s="7"/>
      <c r="C132" s="7"/>
      <c r="D132" s="7"/>
      <c r="E132" s="7"/>
      <c r="F132" s="7"/>
      <c r="G132" s="7"/>
      <c r="H132" s="7"/>
      <c r="I132" s="414"/>
      <c r="J132" s="414"/>
      <c r="K132" s="414"/>
      <c r="L132" s="2"/>
      <c r="M132" s="414"/>
      <c r="N132" s="414"/>
      <c r="O132" s="414"/>
      <c r="P132" s="414"/>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row>
    <row r="133" spans="1:50" ht="16" customHeight="1" x14ac:dyDescent="0.2">
      <c r="A133" s="6"/>
      <c r="B133" s="7"/>
      <c r="C133" s="7"/>
      <c r="D133" s="7"/>
      <c r="E133" s="7"/>
      <c r="F133" s="7"/>
      <c r="G133" s="7"/>
      <c r="H133" s="7"/>
      <c r="I133" s="414"/>
      <c r="J133" s="414"/>
      <c r="K133" s="414"/>
      <c r="L133" s="2"/>
      <c r="M133" s="414"/>
      <c r="N133" s="414"/>
      <c r="O133" s="414"/>
      <c r="P133" s="414"/>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row>
    <row r="134" spans="1:50" ht="16" customHeight="1" x14ac:dyDescent="0.2">
      <c r="A134" s="6"/>
      <c r="B134" s="414"/>
      <c r="C134" s="414"/>
      <c r="D134" s="414"/>
      <c r="E134" s="414"/>
      <c r="F134" s="414"/>
      <c r="G134" s="414"/>
      <c r="H134" s="414"/>
      <c r="I134" s="414"/>
      <c r="J134" s="414"/>
      <c r="K134" s="414"/>
      <c r="L134" s="414"/>
      <c r="M134" s="414"/>
      <c r="N134" s="414"/>
      <c r="O134" s="414"/>
      <c r="P134" s="414"/>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row>
    <row r="135" spans="1:50" ht="16" customHeight="1" thickBot="1" x14ac:dyDescent="0.25">
      <c r="A135" s="6"/>
      <c r="B135" s="414"/>
      <c r="C135" s="414"/>
      <c r="D135" s="414"/>
      <c r="E135" s="414"/>
      <c r="F135" s="414"/>
      <c r="G135" s="414"/>
      <c r="H135" s="414"/>
      <c r="I135" s="414"/>
      <c r="J135" s="414"/>
      <c r="K135" s="414"/>
      <c r="L135" s="414"/>
      <c r="M135" s="414"/>
      <c r="N135" s="414"/>
      <c r="O135" s="414"/>
      <c r="P135" s="414"/>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row>
    <row r="136" spans="1:50" ht="16" customHeight="1" x14ac:dyDescent="0.2">
      <c r="A136" s="6"/>
      <c r="B136" s="414"/>
      <c r="C136" s="443"/>
      <c r="D136" s="415" t="s">
        <v>222</v>
      </c>
      <c r="E136" s="414"/>
      <c r="F136" s="416" t="s">
        <v>167</v>
      </c>
      <c r="G136" s="425" t="s">
        <v>347</v>
      </c>
      <c r="H136" s="415" t="s">
        <v>348</v>
      </c>
      <c r="I136" s="716" t="s">
        <v>323</v>
      </c>
      <c r="J136" s="414"/>
      <c r="K136" s="414"/>
      <c r="L136" s="414"/>
      <c r="M136" s="414"/>
      <c r="N136" s="414"/>
      <c r="O136" s="414"/>
      <c r="P136" s="414"/>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row>
    <row r="137" spans="1:50" ht="16" customHeight="1" x14ac:dyDescent="0.2">
      <c r="A137" s="6"/>
      <c r="B137" s="414"/>
      <c r="C137" s="416" t="s">
        <v>164</v>
      </c>
      <c r="D137" s="415" t="s">
        <v>205</v>
      </c>
      <c r="E137" s="425" t="s">
        <v>222</v>
      </c>
      <c r="F137" s="416" t="s">
        <v>171</v>
      </c>
      <c r="G137" s="425" t="s">
        <v>344</v>
      </c>
      <c r="H137" s="415" t="s">
        <v>349</v>
      </c>
      <c r="I137" s="717"/>
      <c r="J137" s="414"/>
      <c r="K137" s="414"/>
      <c r="L137" s="414"/>
      <c r="M137" s="414"/>
      <c r="N137" s="414"/>
      <c r="O137" s="414"/>
      <c r="P137" s="414"/>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row>
    <row r="138" spans="1:50" ht="16" customHeight="1" x14ac:dyDescent="0.2">
      <c r="A138" s="6"/>
      <c r="B138" s="414"/>
      <c r="C138" s="444" t="s">
        <v>10</v>
      </c>
      <c r="D138" s="445" t="s">
        <v>318</v>
      </c>
      <c r="E138" s="445" t="s">
        <v>255</v>
      </c>
      <c r="F138" s="444" t="s">
        <v>318</v>
      </c>
      <c r="G138" s="445" t="s">
        <v>343</v>
      </c>
      <c r="H138" s="445" t="s">
        <v>343</v>
      </c>
      <c r="I138" s="718"/>
      <c r="J138" s="414"/>
      <c r="K138" s="414"/>
      <c r="L138" s="414"/>
      <c r="M138" s="414"/>
      <c r="N138" s="414"/>
      <c r="O138" s="414"/>
      <c r="P138" s="414"/>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row>
    <row r="139" spans="1:50" ht="16" customHeight="1" x14ac:dyDescent="0.2">
      <c r="A139" s="6"/>
      <c r="B139" s="414"/>
      <c r="C139" s="446">
        <f>C10</f>
        <v>2018</v>
      </c>
      <c r="D139" s="447">
        <f>D10*L99</f>
        <v>1322919.241324991</v>
      </c>
      <c r="E139" s="447">
        <f>E10</f>
        <v>6900</v>
      </c>
      <c r="F139" s="458">
        <f>D139/E139</f>
        <v>191.72742627898421</v>
      </c>
      <c r="G139" s="448">
        <f>$F$34/F139</f>
        <v>1.0599944094815015</v>
      </c>
      <c r="H139" s="448">
        <f>$G$118</f>
        <v>1.0424409999999997</v>
      </c>
      <c r="I139" s="449">
        <f>D139*G139*H139</f>
        <v>1461801.4625669995</v>
      </c>
      <c r="J139" s="414"/>
      <c r="K139" s="414"/>
      <c r="L139" s="414"/>
      <c r="M139" s="414"/>
      <c r="N139" s="414"/>
      <c r="O139" s="414"/>
      <c r="P139" s="414"/>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row>
    <row r="140" spans="1:50" ht="16" customHeight="1" x14ac:dyDescent="0.2">
      <c r="A140" s="6"/>
      <c r="B140" s="414"/>
      <c r="C140" s="450">
        <f>C11</f>
        <v>2019</v>
      </c>
      <c r="D140" s="447">
        <f>D11*L100</f>
        <v>1303721.5442505667</v>
      </c>
      <c r="E140" s="447">
        <f>E11</f>
        <v>7020</v>
      </c>
      <c r="F140" s="458">
        <f t="shared" ref="F140:F143" si="2">D140/E140</f>
        <v>185.71531969381292</v>
      </c>
      <c r="G140" s="448">
        <f t="shared" ref="G140:G143" si="3">$F$34/F140</f>
        <v>1.0943092919585922</v>
      </c>
      <c r="H140" s="448">
        <f t="shared" ref="H140:H143" si="4">$G$118</f>
        <v>1.0424409999999997</v>
      </c>
      <c r="I140" s="449">
        <f t="shared" ref="I140:I143" si="5">D140*G140*H140</f>
        <v>1487224.0966985996</v>
      </c>
      <c r="J140" s="414"/>
      <c r="K140" s="414"/>
      <c r="L140" s="414"/>
      <c r="M140" s="414"/>
      <c r="N140" s="414"/>
      <c r="O140" s="414"/>
      <c r="P140" s="414"/>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row>
    <row r="141" spans="1:50" ht="16" customHeight="1" x14ac:dyDescent="0.2">
      <c r="A141" s="6"/>
      <c r="B141" s="414"/>
      <c r="C141" s="450">
        <f>C12</f>
        <v>2020</v>
      </c>
      <c r="D141" s="447">
        <f>D12*L101</f>
        <v>1393743.6943526727</v>
      </c>
      <c r="E141" s="447">
        <f>E12</f>
        <v>7130</v>
      </c>
      <c r="F141" s="458">
        <f t="shared" si="2"/>
        <v>195.47597396250669</v>
      </c>
      <c r="G141" s="448">
        <f t="shared" si="3"/>
        <v>1.0396674122159921</v>
      </c>
      <c r="H141" s="448">
        <f t="shared" si="4"/>
        <v>1.0424409999999997</v>
      </c>
      <c r="I141" s="449">
        <f>D141*G141*H141</f>
        <v>1510528.1779858996</v>
      </c>
      <c r="J141" s="414"/>
      <c r="K141" s="414"/>
      <c r="L141" s="414"/>
      <c r="M141" s="414"/>
      <c r="N141" s="414"/>
      <c r="O141" s="414"/>
      <c r="P141" s="414"/>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row>
    <row r="142" spans="1:50" ht="16" customHeight="1" x14ac:dyDescent="0.2">
      <c r="A142" s="6"/>
      <c r="B142" s="414"/>
      <c r="C142" s="450">
        <f>C13</f>
        <v>2021</v>
      </c>
      <c r="D142" s="447">
        <f>D13*L102</f>
        <v>1459525.6507317075</v>
      </c>
      <c r="E142" s="447">
        <f>E13</f>
        <v>7258</v>
      </c>
      <c r="F142" s="458">
        <f t="shared" si="2"/>
        <v>201.09198825181971</v>
      </c>
      <c r="G142" s="448">
        <f t="shared" si="3"/>
        <v>1.0106320085984875</v>
      </c>
      <c r="H142" s="448">
        <f t="shared" si="4"/>
        <v>1.0424409999999997</v>
      </c>
      <c r="I142" s="449">
        <f t="shared" si="5"/>
        <v>1537645.6543929395</v>
      </c>
      <c r="J142" s="414"/>
      <c r="K142" s="414"/>
      <c r="L142" s="414"/>
      <c r="M142" s="414"/>
      <c r="N142" s="414"/>
      <c r="O142" s="414"/>
      <c r="P142" s="414"/>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row>
    <row r="143" spans="1:50" ht="16" customHeight="1" thickBot="1" x14ac:dyDescent="0.25">
      <c r="A143" s="6"/>
      <c r="B143" s="414"/>
      <c r="C143" s="463">
        <f>C14</f>
        <v>2022</v>
      </c>
      <c r="D143" s="464">
        <f>D14*L103</f>
        <v>1453660</v>
      </c>
      <c r="E143" s="464">
        <f>E14</f>
        <v>7380</v>
      </c>
      <c r="F143" s="465">
        <f t="shared" si="2"/>
        <v>196.97289972899728</v>
      </c>
      <c r="G143" s="466">
        <f t="shared" si="3"/>
        <v>1.0317663002352682</v>
      </c>
      <c r="H143" s="467">
        <f t="shared" si="4"/>
        <v>1.0424409999999997</v>
      </c>
      <c r="I143" s="451">
        <f t="shared" si="5"/>
        <v>1563491.9990933994</v>
      </c>
      <c r="J143" s="414"/>
      <c r="K143" s="414"/>
      <c r="L143" s="414"/>
      <c r="M143" s="414"/>
      <c r="N143" s="414"/>
      <c r="O143" s="414"/>
      <c r="P143" s="414"/>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row>
    <row r="144" spans="1:50" ht="16" customHeight="1" thickBot="1" x14ac:dyDescent="0.25">
      <c r="A144" s="6"/>
      <c r="B144" s="414"/>
      <c r="C144" s="416" t="s">
        <v>12</v>
      </c>
      <c r="D144" s="382">
        <f>SUM(D139:D143)</f>
        <v>6933570.1306599379</v>
      </c>
      <c r="E144" s="447">
        <f>SUM(E139:E143)</f>
        <v>35688</v>
      </c>
      <c r="F144" s="458">
        <f>D144/E144</f>
        <v>194.28295591403099</v>
      </c>
      <c r="G144" s="379"/>
      <c r="I144" s="394">
        <f>SUM(I139:I143)</f>
        <v>7560691.3907378381</v>
      </c>
      <c r="J144" s="414"/>
      <c r="K144" s="414"/>
      <c r="L144" s="414"/>
      <c r="M144" s="414"/>
      <c r="N144" s="414"/>
      <c r="O144" s="414"/>
      <c r="P144" s="414"/>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row>
    <row r="145" spans="1:49" x14ac:dyDescent="0.2">
      <c r="B145" s="414"/>
      <c r="C145" s="414"/>
      <c r="D145" s="414"/>
      <c r="E145" s="414"/>
      <c r="F145" s="414"/>
      <c r="G145" s="272"/>
      <c r="H145" s="414"/>
      <c r="I145" s="414"/>
      <c r="J145" s="414"/>
      <c r="K145" s="414"/>
      <c r="L145" s="414"/>
      <c r="M145" s="414"/>
      <c r="N145" s="414"/>
      <c r="O145" s="414"/>
      <c r="P145" s="414"/>
    </row>
    <row r="146" spans="1:49" ht="16" customHeight="1" x14ac:dyDescent="0.2">
      <c r="A146" s="6" t="s">
        <v>5</v>
      </c>
      <c r="B146" s="671" t="s">
        <v>499</v>
      </c>
      <c r="C146" s="671"/>
      <c r="D146" s="671"/>
      <c r="E146" s="671"/>
      <c r="F146" s="671"/>
      <c r="G146" s="671"/>
      <c r="H146" s="671"/>
      <c r="I146" s="671"/>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row>
    <row r="147" spans="1:49" ht="16" customHeight="1" x14ac:dyDescent="0.2">
      <c r="A147" s="6"/>
      <c r="B147" s="671"/>
      <c r="C147" s="671"/>
      <c r="D147" s="671"/>
      <c r="E147" s="671"/>
      <c r="F147" s="671"/>
      <c r="G147" s="671"/>
      <c r="H147" s="671"/>
      <c r="I147" s="671"/>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row>
    <row r="148" spans="1:49" ht="16" customHeight="1" x14ac:dyDescent="0.2">
      <c r="A148" s="6"/>
      <c r="B148" s="100"/>
      <c r="C148" s="100"/>
      <c r="D148" s="100"/>
      <c r="E148" s="100"/>
      <c r="F148" s="100"/>
      <c r="G148" s="100"/>
      <c r="H148" s="100"/>
      <c r="I148" s="7"/>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row>
    <row r="149" spans="1:49" ht="16" customHeight="1" x14ac:dyDescent="0.2">
      <c r="A149" s="6"/>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row>
    <row r="150" spans="1:49" ht="16" customHeight="1" x14ac:dyDescent="0.2">
      <c r="A150" s="6"/>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row>
    <row r="151" spans="1:49" ht="16" customHeight="1" x14ac:dyDescent="0.2">
      <c r="A151" s="6"/>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row>
    <row r="152" spans="1:49" ht="16" customHeight="1" x14ac:dyDescent="0.2">
      <c r="A152" s="6"/>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row>
    <row r="153" spans="1:49" ht="16" customHeight="1" x14ac:dyDescent="0.2">
      <c r="A153" s="6"/>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row>
    <row r="154" spans="1:49" ht="16" customHeight="1" x14ac:dyDescent="0.2">
      <c r="A154" s="6"/>
      <c r="B154" s="100"/>
      <c r="C154" s="100"/>
      <c r="D154" s="385"/>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row>
    <row r="155" spans="1:49" ht="16" customHeight="1" x14ac:dyDescent="0.2">
      <c r="A155" s="6"/>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row>
    <row r="156" spans="1:49" ht="16" customHeight="1" x14ac:dyDescent="0.2">
      <c r="A156" s="6"/>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row>
    <row r="157" spans="1:49" ht="16" customHeight="1" x14ac:dyDescent="0.2">
      <c r="A157" s="6"/>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row>
    <row r="158" spans="1:49" ht="16" customHeight="1" x14ac:dyDescent="0.2">
      <c r="A158" s="6"/>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row>
    <row r="159" spans="1:49" ht="16" customHeight="1" x14ac:dyDescent="0.2">
      <c r="A159" s="6"/>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row>
    <row r="160" spans="1:49" ht="16" customHeight="1" x14ac:dyDescent="0.2">
      <c r="A160" s="6"/>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row>
    <row r="161" spans="1:49" ht="16" customHeight="1" x14ac:dyDescent="0.2">
      <c r="A161" s="6"/>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row>
    <row r="162" spans="1:49" ht="16" customHeight="1" x14ac:dyDescent="0.2">
      <c r="A162" s="6"/>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row>
    <row r="163" spans="1:49" ht="16" customHeight="1" x14ac:dyDescent="0.2">
      <c r="A163" s="6"/>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row>
    <row r="164" spans="1:49" ht="16" customHeight="1" x14ac:dyDescent="0.2">
      <c r="A164" s="6"/>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row>
    <row r="165" spans="1:49" ht="48" customHeight="1" x14ac:dyDescent="0.2">
      <c r="A165" s="6"/>
      <c r="B165" s="100"/>
      <c r="C165" s="75" t="s">
        <v>464</v>
      </c>
      <c r="D165" s="14" t="s">
        <v>465</v>
      </c>
      <c r="E165" s="14" t="s">
        <v>467</v>
      </c>
      <c r="F165" s="14" t="s">
        <v>466</v>
      </c>
      <c r="G165" s="75" t="s">
        <v>468</v>
      </c>
      <c r="H165" s="14" t="s">
        <v>460</v>
      </c>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row>
    <row r="166" spans="1:49" ht="16" customHeight="1" x14ac:dyDescent="0.2">
      <c r="A166" s="6"/>
      <c r="B166" s="100"/>
      <c r="C166" s="115">
        <f>C10</f>
        <v>2018</v>
      </c>
      <c r="D166" s="384">
        <f>$F$35</f>
        <v>3.7999999999999999E-2</v>
      </c>
      <c r="E166" s="388">
        <f>E167+1</f>
        <v>4</v>
      </c>
      <c r="F166" s="384">
        <f>$F$36</f>
        <v>4.4999999999999998E-2</v>
      </c>
      <c r="G166" s="389">
        <v>2.25</v>
      </c>
      <c r="H166" s="386">
        <f>(1+D166)^E166*(1+F166)^G166</f>
        <v>1.2817433342519209</v>
      </c>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row>
    <row r="167" spans="1:49" ht="16" customHeight="1" x14ac:dyDescent="0.2">
      <c r="A167" s="6"/>
      <c r="B167" s="100"/>
      <c r="C167" s="115">
        <f>C11</f>
        <v>2019</v>
      </c>
      <c r="D167" s="384">
        <f t="shared" ref="D167:D170" si="6">$F$35</f>
        <v>3.7999999999999999E-2</v>
      </c>
      <c r="E167" s="388">
        <f>E168+1</f>
        <v>3</v>
      </c>
      <c r="F167" s="384">
        <f t="shared" ref="F167:F170" si="7">$F$36</f>
        <v>4.4999999999999998E-2</v>
      </c>
      <c r="G167" s="389">
        <v>2.25</v>
      </c>
      <c r="H167" s="386">
        <f>(1+D167)^E167*(1+F167)^G167</f>
        <v>1.2348201678727562</v>
      </c>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row>
    <row r="168" spans="1:49" ht="16" customHeight="1" x14ac:dyDescent="0.2">
      <c r="A168" s="6"/>
      <c r="B168" s="100"/>
      <c r="C168" s="115">
        <f>C12</f>
        <v>2020</v>
      </c>
      <c r="D168" s="384">
        <f t="shared" si="6"/>
        <v>3.7999999999999999E-2</v>
      </c>
      <c r="E168" s="388">
        <f>E169+1</f>
        <v>2</v>
      </c>
      <c r="F168" s="384">
        <f t="shared" si="7"/>
        <v>4.4999999999999998E-2</v>
      </c>
      <c r="G168" s="389">
        <v>2.25</v>
      </c>
      <c r="H168" s="386">
        <f>(1+D168)^E168*(1+F168)^G168</f>
        <v>1.1896148052724047</v>
      </c>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row>
    <row r="169" spans="1:49" ht="16" customHeight="1" x14ac:dyDescent="0.2">
      <c r="A169" s="6"/>
      <c r="B169" s="100"/>
      <c r="C169" s="115">
        <f>C13</f>
        <v>2021</v>
      </c>
      <c r="D169" s="384">
        <f t="shared" si="6"/>
        <v>3.7999999999999999E-2</v>
      </c>
      <c r="E169" s="388">
        <f>E170+1</f>
        <v>1</v>
      </c>
      <c r="F169" s="384">
        <f t="shared" si="7"/>
        <v>4.4999999999999998E-2</v>
      </c>
      <c r="G169" s="389">
        <v>2.25</v>
      </c>
      <c r="H169" s="386">
        <f>(1+D169)^E169*(1+F169)^G169</f>
        <v>1.1460643596073263</v>
      </c>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row>
    <row r="170" spans="1:49" ht="16" customHeight="1" x14ac:dyDescent="0.2">
      <c r="A170" s="6"/>
      <c r="B170" s="100"/>
      <c r="C170" s="115">
        <f>C14</f>
        <v>2022</v>
      </c>
      <c r="D170" s="384">
        <f t="shared" si="6"/>
        <v>3.7999999999999999E-2</v>
      </c>
      <c r="E170" s="388">
        <v>0</v>
      </c>
      <c r="F170" s="384">
        <f t="shared" si="7"/>
        <v>4.4999999999999998E-2</v>
      </c>
      <c r="G170" s="389">
        <v>2.25</v>
      </c>
      <c r="H170" s="386">
        <f>(1+D170)^E170*(1+F170)^G170</f>
        <v>1.1041082462498326</v>
      </c>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row>
    <row r="171" spans="1:49" ht="16" customHeight="1" x14ac:dyDescent="0.2">
      <c r="A171" s="6"/>
      <c r="B171" s="7"/>
      <c r="C171" s="7"/>
      <c r="D171" s="7"/>
      <c r="E171" s="7"/>
      <c r="F171" s="7"/>
      <c r="G171" s="7"/>
      <c r="H171" s="7"/>
      <c r="I171" s="100"/>
      <c r="J171" s="100"/>
      <c r="K171" s="100"/>
      <c r="L171" s="2"/>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row>
    <row r="172" spans="1:49" ht="16" customHeight="1" x14ac:dyDescent="0.2">
      <c r="A172" s="6" t="s">
        <v>4</v>
      </c>
      <c r="B172" s="632" t="s">
        <v>500</v>
      </c>
      <c r="C172" s="632"/>
      <c r="D172" s="632"/>
      <c r="E172" s="632"/>
      <c r="F172" s="632"/>
      <c r="G172" s="632"/>
      <c r="H172" s="632"/>
      <c r="I172" s="632"/>
      <c r="J172" s="100"/>
      <c r="K172" s="100"/>
      <c r="L172" s="2"/>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row>
    <row r="173" spans="1:49" ht="16" customHeight="1" x14ac:dyDescent="0.2">
      <c r="A173" s="6"/>
      <c r="B173" s="632"/>
      <c r="C173" s="632"/>
      <c r="D173" s="632"/>
      <c r="E173" s="632"/>
      <c r="F173" s="632"/>
      <c r="G173" s="632"/>
      <c r="H173" s="632"/>
      <c r="I173" s="632"/>
      <c r="J173" s="100"/>
      <c r="K173" s="100"/>
      <c r="L173" s="2"/>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row>
    <row r="174" spans="1:49" ht="16" customHeight="1" x14ac:dyDescent="0.2">
      <c r="A174" s="6"/>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row>
    <row r="175" spans="1:49" ht="16" customHeight="1" x14ac:dyDescent="0.2">
      <c r="A175" s="6"/>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row>
    <row r="176" spans="1:49" ht="16" customHeight="1" x14ac:dyDescent="0.2">
      <c r="A176" s="6"/>
      <c r="B176" s="100"/>
      <c r="C176" s="100"/>
      <c r="D176" s="100"/>
      <c r="E176" s="100"/>
      <c r="F176" s="100"/>
      <c r="G176" s="100"/>
      <c r="H176" s="100"/>
      <c r="I176" s="100"/>
      <c r="J176" s="100"/>
      <c r="K176" s="100"/>
      <c r="L176" s="2"/>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row>
    <row r="177" spans="1:49" ht="16" customHeight="1" thickBot="1" x14ac:dyDescent="0.25">
      <c r="A177" s="6"/>
      <c r="B177" s="100"/>
      <c r="C177" s="100"/>
      <c r="D177" s="100"/>
      <c r="E177" s="100"/>
      <c r="F177" s="100"/>
      <c r="G177" s="100"/>
      <c r="H177" s="100"/>
      <c r="I177" s="100"/>
      <c r="J177" s="100"/>
      <c r="K177" s="100"/>
      <c r="L177" s="2"/>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row>
    <row r="178" spans="1:49" ht="48" customHeight="1" x14ac:dyDescent="0.2">
      <c r="A178" s="6"/>
      <c r="B178" s="100"/>
      <c r="C178" s="383" t="s">
        <v>464</v>
      </c>
      <c r="D178" s="377" t="s">
        <v>459</v>
      </c>
      <c r="E178" s="615" t="s">
        <v>576</v>
      </c>
      <c r="F178" s="377" t="s">
        <v>460</v>
      </c>
      <c r="G178" s="377" t="s">
        <v>461</v>
      </c>
      <c r="H178" s="462" t="s">
        <v>503</v>
      </c>
      <c r="I178" s="100"/>
      <c r="J178" s="100"/>
      <c r="K178" s="100"/>
      <c r="L178" s="2"/>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row>
    <row r="179" spans="1:49" ht="16" customHeight="1" x14ac:dyDescent="0.2">
      <c r="A179" s="6"/>
      <c r="B179" s="100"/>
      <c r="C179" s="115">
        <f>C10</f>
        <v>2018</v>
      </c>
      <c r="D179" s="382">
        <f>F10</f>
        <v>856495</v>
      </c>
      <c r="E179" s="378">
        <f>H23</f>
        <v>1</v>
      </c>
      <c r="F179" s="378">
        <f>H166</f>
        <v>1.2817433342519209</v>
      </c>
      <c r="G179" s="460">
        <f>1+$E$41</f>
        <v>1.1160000000000001</v>
      </c>
      <c r="H179" s="392">
        <f>D179*E179*F179*G179</f>
        <v>1225152.3408902306</v>
      </c>
      <c r="I179" s="100"/>
      <c r="J179" s="100"/>
      <c r="K179" s="100"/>
      <c r="L179" s="2"/>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row>
    <row r="180" spans="1:49" ht="16" customHeight="1" x14ac:dyDescent="0.2">
      <c r="A180" s="6"/>
      <c r="B180" s="100"/>
      <c r="C180" s="115">
        <f>C11</f>
        <v>2019</v>
      </c>
      <c r="D180" s="382">
        <f>F11</f>
        <v>867184</v>
      </c>
      <c r="E180" s="378">
        <f>G23</f>
        <v>0.98760000000000003</v>
      </c>
      <c r="F180" s="378">
        <f t="shared" ref="F180:F183" si="8">H167</f>
        <v>1.2348201678727562</v>
      </c>
      <c r="G180" s="460">
        <f t="shared" ref="G180:G183" si="9">1+$E$41</f>
        <v>1.1160000000000001</v>
      </c>
      <c r="H180" s="392">
        <f t="shared" ref="H180:H182" si="10">D180*E180*F180*G180</f>
        <v>1180212.5981999992</v>
      </c>
      <c r="I180" s="100"/>
      <c r="J180" s="100"/>
      <c r="K180" s="100"/>
      <c r="L180" s="2"/>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row>
    <row r="181" spans="1:49" ht="16" customHeight="1" x14ac:dyDescent="0.2">
      <c r="A181" s="6"/>
      <c r="B181" s="100"/>
      <c r="C181" s="115">
        <f>C12</f>
        <v>2020</v>
      </c>
      <c r="D181" s="382">
        <f>F12</f>
        <v>835120</v>
      </c>
      <c r="E181" s="378">
        <f>F23</f>
        <v>1.0046999999999999</v>
      </c>
      <c r="F181" s="378">
        <f t="shared" si="8"/>
        <v>1.1896148052724047</v>
      </c>
      <c r="G181" s="460">
        <f t="shared" si="9"/>
        <v>1.1160000000000001</v>
      </c>
      <c r="H181" s="392">
        <f t="shared" si="10"/>
        <v>1113924.7203544476</v>
      </c>
      <c r="I181" s="100"/>
      <c r="J181" s="100"/>
      <c r="K181" s="100"/>
      <c r="L181" s="2"/>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row>
    <row r="182" spans="1:49" ht="16" customHeight="1" x14ac:dyDescent="0.2">
      <c r="A182" s="6"/>
      <c r="B182" s="100"/>
      <c r="C182" s="115">
        <f>C13</f>
        <v>2021</v>
      </c>
      <c r="D182" s="382">
        <f>F13</f>
        <v>821509</v>
      </c>
      <c r="E182" s="378">
        <f>E23</f>
        <v>1.0354000000000001</v>
      </c>
      <c r="F182" s="378">
        <f t="shared" si="8"/>
        <v>1.1460643596073263</v>
      </c>
      <c r="G182" s="460">
        <f t="shared" si="9"/>
        <v>1.1160000000000001</v>
      </c>
      <c r="H182" s="392">
        <f t="shared" si="10"/>
        <v>1087911.8015331256</v>
      </c>
      <c r="I182" s="100"/>
      <c r="J182" s="100"/>
      <c r="K182" s="100"/>
      <c r="L182" s="2"/>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row>
    <row r="183" spans="1:49" ht="16" customHeight="1" x14ac:dyDescent="0.2">
      <c r="A183" s="6"/>
      <c r="B183" s="7"/>
      <c r="C183" s="125">
        <f>C14</f>
        <v>2022</v>
      </c>
      <c r="D183" s="381">
        <f>F14</f>
        <v>797866</v>
      </c>
      <c r="E183" s="380">
        <f>D23</f>
        <v>1.153</v>
      </c>
      <c r="F183" s="380">
        <f t="shared" si="8"/>
        <v>1.1041082462498326</v>
      </c>
      <c r="G183" s="461">
        <f t="shared" si="9"/>
        <v>1.1160000000000001</v>
      </c>
      <c r="H183" s="393">
        <f>D183*E183*F183*G183</f>
        <v>1133535.4689446883</v>
      </c>
      <c r="I183" s="7"/>
      <c r="J183" s="100"/>
      <c r="K183" s="100"/>
      <c r="L183" s="2"/>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row>
    <row r="184" spans="1:49" ht="16" customHeight="1" thickBot="1" x14ac:dyDescent="0.25">
      <c r="A184" s="6"/>
      <c r="B184" s="100"/>
      <c r="C184" s="416" t="s">
        <v>12</v>
      </c>
      <c r="D184" s="382">
        <f>SUM(D179:D183)</f>
        <v>4178174</v>
      </c>
      <c r="E184" s="379"/>
      <c r="F184" s="379"/>
      <c r="G184" s="379"/>
      <c r="H184" s="394">
        <f>SUM(H179:H183)</f>
        <v>5740736.9299224913</v>
      </c>
      <c r="I184" s="7"/>
      <c r="J184" s="100"/>
      <c r="K184" s="100"/>
      <c r="L184" s="2"/>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row>
    <row r="185" spans="1:49" ht="16" customHeight="1" x14ac:dyDescent="0.2">
      <c r="A185" s="8"/>
      <c r="B185" s="7"/>
      <c r="C185" s="7"/>
      <c r="D185" s="7"/>
      <c r="E185" s="7"/>
      <c r="F185" s="7"/>
      <c r="G185" s="7"/>
      <c r="H185" s="7"/>
      <c r="I185" s="7"/>
      <c r="J185" s="414"/>
      <c r="K185" s="414"/>
      <c r="L185" s="414"/>
      <c r="M185" s="414"/>
      <c r="N185" s="414"/>
      <c r="O185" s="414"/>
      <c r="P185" s="414"/>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row>
    <row r="186" spans="1:49" ht="16" customHeight="1" x14ac:dyDescent="0.2">
      <c r="A186" s="6" t="s">
        <v>84</v>
      </c>
      <c r="B186" s="632" t="s">
        <v>504</v>
      </c>
      <c r="C186" s="632"/>
      <c r="D186" s="632"/>
      <c r="E186" s="632"/>
      <c r="F186" s="632"/>
      <c r="G186" s="632"/>
      <c r="H186" s="632"/>
      <c r="I186" s="632"/>
      <c r="J186" s="100"/>
      <c r="K186" s="100"/>
      <c r="L186" s="2"/>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row>
    <row r="187" spans="1:49" ht="16" customHeight="1" x14ac:dyDescent="0.2">
      <c r="A187" s="6"/>
      <c r="B187" s="632"/>
      <c r="C187" s="632"/>
      <c r="D187" s="632"/>
      <c r="E187" s="632"/>
      <c r="F187" s="632"/>
      <c r="G187" s="632"/>
      <c r="H187" s="632"/>
      <c r="I187" s="632"/>
      <c r="J187" s="100"/>
      <c r="K187" s="100"/>
      <c r="L187" s="2"/>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row>
    <row r="188" spans="1:49" ht="16" customHeight="1" x14ac:dyDescent="0.2">
      <c r="A188" s="6"/>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row>
    <row r="189" spans="1:49" ht="16" customHeight="1" x14ac:dyDescent="0.2">
      <c r="A189" s="6"/>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row>
    <row r="190" spans="1:49" ht="16" customHeight="1" x14ac:dyDescent="0.2">
      <c r="A190" s="6"/>
      <c r="B190" s="100"/>
      <c r="C190" s="100"/>
      <c r="D190" s="100"/>
      <c r="E190" s="100"/>
      <c r="F190" s="100"/>
      <c r="G190" s="100"/>
      <c r="H190" s="100"/>
      <c r="I190" s="100"/>
      <c r="J190" s="100"/>
      <c r="K190" s="100"/>
      <c r="L190" s="2"/>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row>
    <row r="191" spans="1:49" ht="16" customHeight="1" x14ac:dyDescent="0.2">
      <c r="A191" s="6"/>
      <c r="B191" s="100"/>
      <c r="C191" s="100"/>
      <c r="D191" s="100"/>
      <c r="E191" s="100"/>
      <c r="F191" s="100"/>
      <c r="G191" s="100"/>
      <c r="H191" s="100"/>
      <c r="I191" s="100"/>
      <c r="J191" s="100"/>
      <c r="K191" s="100"/>
      <c r="L191" s="2"/>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row>
    <row r="192" spans="1:49" ht="51" x14ac:dyDescent="0.2">
      <c r="A192" s="6"/>
      <c r="B192" s="100"/>
      <c r="C192" s="383" t="s">
        <v>464</v>
      </c>
      <c r="D192" s="468" t="s">
        <v>502</v>
      </c>
      <c r="E192" s="100"/>
      <c r="F192" s="100"/>
      <c r="G192" s="100"/>
      <c r="H192" s="2"/>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row>
    <row r="193" spans="1:49" ht="16" customHeight="1" x14ac:dyDescent="0.2">
      <c r="A193" s="6"/>
      <c r="B193" s="100"/>
      <c r="C193" s="416">
        <f>C10</f>
        <v>2018</v>
      </c>
      <c r="D193" s="470">
        <f t="shared" ref="D193:D198" si="11">H179/I139</f>
        <v>0.83811131146277507</v>
      </c>
      <c r="E193" s="100"/>
      <c r="F193" s="100"/>
      <c r="G193" s="100"/>
      <c r="H193" s="2"/>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row>
    <row r="194" spans="1:49" ht="16" customHeight="1" x14ac:dyDescent="0.2">
      <c r="A194" s="6"/>
      <c r="B194" s="100"/>
      <c r="C194" s="115">
        <f t="shared" ref="C194:C197" si="12">C11</f>
        <v>2019</v>
      </c>
      <c r="D194" s="470">
        <f t="shared" si="11"/>
        <v>0.7935674259312252</v>
      </c>
      <c r="E194" s="100"/>
      <c r="F194" s="100"/>
      <c r="G194" s="100"/>
      <c r="H194" s="2"/>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row>
    <row r="195" spans="1:49" ht="16" customHeight="1" x14ac:dyDescent="0.2">
      <c r="A195" s="6"/>
      <c r="B195" s="100"/>
      <c r="C195" s="115">
        <f t="shared" si="12"/>
        <v>2020</v>
      </c>
      <c r="D195" s="470">
        <f t="shared" si="11"/>
        <v>0.73744054337319742</v>
      </c>
      <c r="E195" s="100"/>
      <c r="F195" s="100"/>
      <c r="G195" s="100"/>
      <c r="H195" s="2"/>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row>
    <row r="196" spans="1:49" ht="16" customHeight="1" x14ac:dyDescent="0.2">
      <c r="A196" s="6"/>
      <c r="B196" s="100"/>
      <c r="C196" s="115">
        <f t="shared" si="12"/>
        <v>2021</v>
      </c>
      <c r="D196" s="470">
        <f t="shared" si="11"/>
        <v>0.70751788516752367</v>
      </c>
      <c r="E196" s="100"/>
      <c r="F196" s="100"/>
      <c r="G196" s="100"/>
      <c r="H196" s="2"/>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row>
    <row r="197" spans="1:49" ht="16" customHeight="1" x14ac:dyDescent="0.2">
      <c r="A197" s="6"/>
      <c r="B197" s="7"/>
      <c r="C197" s="125">
        <f t="shared" si="12"/>
        <v>2022</v>
      </c>
      <c r="D197" s="471">
        <f>H183/I143</f>
        <v>0.72500241101455964</v>
      </c>
      <c r="E197" s="7"/>
      <c r="F197" s="100"/>
      <c r="G197" s="100"/>
      <c r="H197" s="2"/>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row>
    <row r="198" spans="1:49" ht="16" customHeight="1" x14ac:dyDescent="0.2">
      <c r="A198" s="6"/>
      <c r="B198" s="100"/>
      <c r="C198" s="416" t="s">
        <v>12</v>
      </c>
      <c r="D198" s="470">
        <f t="shared" si="11"/>
        <v>0.75928729705263898</v>
      </c>
      <c r="E198" s="7"/>
      <c r="F198" s="100"/>
      <c r="G198" s="100"/>
      <c r="H198" s="2"/>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row>
    <row r="199" spans="1:49" ht="16" customHeight="1" thickBot="1" x14ac:dyDescent="0.25">
      <c r="A199" s="8"/>
      <c r="B199" s="7"/>
      <c r="C199" s="7"/>
      <c r="D199" s="7"/>
      <c r="E199" s="7"/>
      <c r="F199" s="7"/>
      <c r="G199" s="7"/>
      <c r="H199" s="7"/>
      <c r="I199" s="7"/>
      <c r="J199" s="414"/>
      <c r="K199" s="414"/>
      <c r="L199" s="414"/>
      <c r="M199" s="414"/>
      <c r="N199" s="414"/>
      <c r="O199" s="414"/>
      <c r="P199" s="414"/>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row>
    <row r="200" spans="1:49" ht="16" customHeight="1" thickBot="1" x14ac:dyDescent="0.25">
      <c r="A200" s="8"/>
      <c r="B200" s="7"/>
      <c r="C200" s="469" t="s">
        <v>472</v>
      </c>
      <c r="D200" s="452">
        <f>D198</f>
        <v>0.75928729705263898</v>
      </c>
      <c r="E200" s="7"/>
      <c r="F200" s="7"/>
      <c r="G200" s="7"/>
      <c r="H200" s="7"/>
      <c r="I200" s="7"/>
      <c r="J200" s="414"/>
      <c r="K200" s="414"/>
      <c r="L200" s="414"/>
      <c r="M200" s="414"/>
      <c r="N200" s="414"/>
      <c r="O200" s="414"/>
      <c r="P200" s="414"/>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row>
    <row r="201" spans="1:49" ht="16" customHeight="1" x14ac:dyDescent="0.2">
      <c r="A201" s="8"/>
      <c r="B201" s="7"/>
      <c r="C201" s="7"/>
      <c r="D201" s="7"/>
      <c r="E201" s="7"/>
      <c r="F201" s="7"/>
      <c r="G201" s="7"/>
      <c r="H201" s="7"/>
      <c r="I201" s="7"/>
      <c r="J201" s="414"/>
      <c r="K201" s="414"/>
      <c r="L201" s="414"/>
      <c r="M201" s="414"/>
      <c r="N201" s="414"/>
      <c r="O201" s="414"/>
      <c r="P201" s="414"/>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row>
    <row r="202" spans="1:49" ht="16" customHeight="1" x14ac:dyDescent="0.2">
      <c r="A202" s="8"/>
      <c r="B202" s="7" t="s">
        <v>505</v>
      </c>
      <c r="C202" s="7"/>
      <c r="D202" s="7"/>
      <c r="E202" s="7"/>
      <c r="F202" s="7"/>
      <c r="G202" s="7"/>
      <c r="H202" s="7"/>
      <c r="I202" s="7"/>
      <c r="J202" s="414"/>
      <c r="K202" s="414"/>
      <c r="L202" s="414"/>
      <c r="M202" s="414"/>
      <c r="N202" s="414"/>
      <c r="O202" s="414"/>
      <c r="P202" s="414"/>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row>
    <row r="203" spans="1:49" ht="16" customHeight="1" x14ac:dyDescent="0.2">
      <c r="A203" s="6"/>
      <c r="B203" s="100"/>
      <c r="C203" s="100"/>
      <c r="D203" s="100"/>
      <c r="E203" s="100"/>
      <c r="F203" s="100"/>
      <c r="G203" s="100"/>
      <c r="H203" s="100"/>
      <c r="I203" s="100"/>
      <c r="J203" s="100"/>
      <c r="K203" s="100"/>
      <c r="L203" s="2"/>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row>
    <row r="204" spans="1:49" ht="16" customHeight="1" x14ac:dyDescent="0.2">
      <c r="A204" s="6" t="s">
        <v>85</v>
      </c>
      <c r="B204" s="632" t="s">
        <v>473</v>
      </c>
      <c r="C204" s="632"/>
      <c r="D204" s="632"/>
      <c r="E204" s="632"/>
      <c r="F204" s="632"/>
      <c r="G204" s="632"/>
      <c r="H204" s="632"/>
      <c r="I204" s="632"/>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row>
    <row r="205" spans="1:49" ht="16" customHeight="1" x14ac:dyDescent="0.2">
      <c r="A205" s="6"/>
      <c r="B205" s="632"/>
      <c r="C205" s="632"/>
      <c r="D205" s="632"/>
      <c r="E205" s="632"/>
      <c r="F205" s="632"/>
      <c r="G205" s="632"/>
      <c r="H205" s="632"/>
      <c r="I205" s="632"/>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row>
    <row r="206" spans="1:49" ht="16" customHeight="1" x14ac:dyDescent="0.2">
      <c r="A206" s="6"/>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row>
    <row r="207" spans="1:49" ht="16" customHeight="1" x14ac:dyDescent="0.2">
      <c r="A207" s="6"/>
      <c r="B207" s="100"/>
      <c r="C207" s="100"/>
      <c r="D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row>
    <row r="208" spans="1:49" ht="16" customHeight="1" x14ac:dyDescent="0.2">
      <c r="A208" s="6"/>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row>
    <row r="209" spans="1:49" ht="16" customHeight="1" thickBot="1" x14ac:dyDescent="0.25">
      <c r="A209" s="6"/>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row>
    <row r="210" spans="1:49" ht="16" customHeight="1" thickBot="1" x14ac:dyDescent="0.25">
      <c r="A210" s="6"/>
      <c r="B210" s="100"/>
      <c r="C210" s="100"/>
      <c r="D210" s="100"/>
      <c r="E210" s="721" t="s">
        <v>507</v>
      </c>
      <c r="F210" s="713"/>
      <c r="G210" s="405">
        <f>(D200+E39)/(1-E40-E42)-1</f>
        <v>0.13161062605333185</v>
      </c>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row>
    <row r="211" spans="1:49" ht="16" customHeight="1" x14ac:dyDescent="0.2">
      <c r="A211" s="6"/>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row>
    <row r="212" spans="1:49" ht="16" customHeight="1" x14ac:dyDescent="0.2">
      <c r="A212" s="6"/>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row>
    <row r="213" spans="1:49" ht="16" customHeight="1" x14ac:dyDescent="0.2">
      <c r="A213" s="8" t="s">
        <v>518</v>
      </c>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row>
    <row r="214" spans="1:49" ht="16" customHeight="1" x14ac:dyDescent="0.2">
      <c r="A214" s="6" t="s">
        <v>86</v>
      </c>
      <c r="B214" s="632" t="s">
        <v>508</v>
      </c>
      <c r="C214" s="632"/>
      <c r="D214" s="632"/>
      <c r="E214" s="632"/>
      <c r="F214" s="632"/>
      <c r="G214" s="632"/>
      <c r="H214" s="632"/>
      <c r="I214" s="632"/>
      <c r="J214" s="100"/>
      <c r="K214" s="100"/>
      <c r="L214" s="2"/>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row>
    <row r="215" spans="1:49" ht="16" customHeight="1" x14ac:dyDescent="0.2">
      <c r="A215" s="6"/>
      <c r="B215" s="632"/>
      <c r="C215" s="632"/>
      <c r="D215" s="632"/>
      <c r="E215" s="632"/>
      <c r="F215" s="632"/>
      <c r="G215" s="632"/>
      <c r="H215" s="632"/>
      <c r="I215" s="632"/>
      <c r="J215" s="100"/>
      <c r="K215" s="100"/>
      <c r="L215" s="2"/>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row>
    <row r="216" spans="1:49" ht="16" customHeight="1" x14ac:dyDescent="0.2">
      <c r="A216" s="6"/>
      <c r="B216" s="400"/>
      <c r="C216" s="100"/>
      <c r="D216" s="100"/>
      <c r="E216" s="100"/>
      <c r="F216" s="100"/>
      <c r="G216" s="100"/>
      <c r="H216" s="100"/>
      <c r="I216" s="100"/>
      <c r="J216" s="100"/>
      <c r="K216" s="100"/>
      <c r="L216" s="2"/>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row>
    <row r="217" spans="1:49" ht="16" customHeight="1" x14ac:dyDescent="0.2">
      <c r="A217" s="6"/>
      <c r="B217" s="400"/>
      <c r="C217" s="100"/>
      <c r="D217" s="100"/>
      <c r="E217" s="100"/>
      <c r="F217" s="100"/>
      <c r="G217" s="100"/>
      <c r="H217" s="100"/>
      <c r="I217" s="100"/>
      <c r="J217" s="100"/>
      <c r="K217" s="100"/>
      <c r="L217" s="2"/>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row>
    <row r="218" spans="1:49" ht="16" customHeight="1" x14ac:dyDescent="0.2">
      <c r="A218" s="6"/>
      <c r="B218" s="400"/>
      <c r="C218" s="100"/>
      <c r="D218" s="100"/>
      <c r="E218" s="100"/>
      <c r="F218" s="100"/>
      <c r="G218" s="100"/>
      <c r="H218" s="100"/>
      <c r="I218" s="100"/>
      <c r="J218" s="100"/>
      <c r="K218" s="100"/>
      <c r="L218" s="2"/>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row>
    <row r="219" spans="1:49" ht="16" customHeight="1" thickBot="1" x14ac:dyDescent="0.25">
      <c r="A219" s="6"/>
      <c r="B219" s="400"/>
      <c r="C219" s="100"/>
      <c r="D219" s="100"/>
      <c r="E219" s="100"/>
      <c r="F219" s="100"/>
      <c r="G219" s="100"/>
      <c r="H219" s="100"/>
      <c r="I219" s="100"/>
      <c r="J219" s="100"/>
      <c r="K219" s="100"/>
      <c r="L219" s="2"/>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row>
    <row r="220" spans="1:49" ht="16" customHeight="1" thickBot="1" x14ac:dyDescent="0.25">
      <c r="A220" s="6"/>
      <c r="B220" s="479" t="s">
        <v>526</v>
      </c>
      <c r="C220" s="100"/>
      <c r="D220" s="100"/>
      <c r="E220"/>
      <c r="F220" s="473" t="s">
        <v>509</v>
      </c>
      <c r="G220" s="405">
        <f>MIN(1,SQRT(E45/E46))</f>
        <v>0.81517492991295748</v>
      </c>
      <c r="H220" s="100"/>
      <c r="I220" s="100"/>
      <c r="J220" s="100"/>
      <c r="K220" s="100"/>
      <c r="L220" s="2"/>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row>
    <row r="221" spans="1:49" ht="16" customHeight="1" x14ac:dyDescent="0.2">
      <c r="A221" s="6"/>
      <c r="B221" s="400"/>
      <c r="C221" s="100"/>
      <c r="D221" s="100"/>
      <c r="E221" s="100"/>
      <c r="F221" s="100"/>
      <c r="G221" s="100"/>
      <c r="H221" s="100"/>
      <c r="I221" s="100"/>
      <c r="J221" s="100"/>
      <c r="K221" s="100"/>
      <c r="L221" s="2"/>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row>
    <row r="222" spans="1:49" ht="16" customHeight="1" x14ac:dyDescent="0.2">
      <c r="A222" s="6" t="s">
        <v>474</v>
      </c>
      <c r="B222" s="632" t="s">
        <v>512</v>
      </c>
      <c r="C222" s="632"/>
      <c r="D222" s="632"/>
      <c r="E222" s="632"/>
      <c r="F222" s="632"/>
      <c r="G222" s="632"/>
      <c r="H222" s="632"/>
      <c r="I222" s="632"/>
      <c r="J222" s="100"/>
      <c r="K222" s="100"/>
      <c r="L222" s="2"/>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row>
    <row r="223" spans="1:49" ht="16" customHeight="1" x14ac:dyDescent="0.2">
      <c r="A223" s="6"/>
      <c r="B223" s="632"/>
      <c r="C223" s="632"/>
      <c r="D223" s="632"/>
      <c r="E223" s="632"/>
      <c r="F223" s="632"/>
      <c r="G223" s="632"/>
      <c r="H223" s="632"/>
      <c r="I223" s="632"/>
      <c r="J223" s="100"/>
      <c r="K223" s="100"/>
      <c r="L223" s="2"/>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row>
    <row r="224" spans="1:49" ht="16" customHeight="1" x14ac:dyDescent="0.2">
      <c r="A224" s="6"/>
      <c r="B224" s="632"/>
      <c r="C224" s="632"/>
      <c r="D224" s="632"/>
      <c r="E224" s="632"/>
      <c r="F224" s="632"/>
      <c r="G224" s="632"/>
      <c r="H224" s="632"/>
      <c r="I224" s="632"/>
      <c r="J224" s="100"/>
      <c r="K224" s="100"/>
      <c r="L224" s="2"/>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row>
    <row r="225" spans="1:49" ht="16" customHeight="1" x14ac:dyDescent="0.2">
      <c r="A225" s="6"/>
      <c r="B225" s="400"/>
      <c r="C225" s="100"/>
      <c r="D225" s="100"/>
      <c r="E225" s="100"/>
      <c r="F225" s="100"/>
      <c r="G225" s="100"/>
      <c r="H225" s="100"/>
      <c r="I225" s="100"/>
      <c r="J225" s="100"/>
      <c r="K225" s="100"/>
      <c r="L225" s="2"/>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row>
    <row r="226" spans="1:49" ht="16" customHeight="1" x14ac:dyDescent="0.2">
      <c r="A226" s="6"/>
      <c r="B226" s="400"/>
      <c r="C226" s="100"/>
      <c r="D226" s="100"/>
      <c r="E226" s="100"/>
      <c r="F226" s="100"/>
      <c r="G226" s="100"/>
      <c r="H226" s="100"/>
      <c r="I226" s="100"/>
      <c r="J226" s="100"/>
      <c r="K226" s="100"/>
      <c r="L226" s="2"/>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row>
    <row r="227" spans="1:49" ht="16" customHeight="1" x14ac:dyDescent="0.2">
      <c r="A227" s="6"/>
      <c r="B227" s="400"/>
      <c r="C227" s="100"/>
      <c r="D227" s="100"/>
      <c r="E227" s="100"/>
      <c r="F227" s="100"/>
      <c r="G227" s="100"/>
      <c r="H227" s="100"/>
      <c r="I227" s="100"/>
      <c r="J227" s="100"/>
      <c r="K227" s="100"/>
      <c r="L227" s="2"/>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row>
    <row r="228" spans="1:49" ht="16" customHeight="1" thickBot="1" x14ac:dyDescent="0.25">
      <c r="A228" s="6"/>
      <c r="B228" s="400"/>
      <c r="C228" s="100"/>
      <c r="D228" s="100"/>
      <c r="E228" s="100"/>
      <c r="F228" s="100"/>
      <c r="G228" s="100"/>
      <c r="H228" s="100"/>
      <c r="I228" s="100"/>
      <c r="J228" s="100"/>
      <c r="K228" s="100"/>
      <c r="L228" s="2"/>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row>
    <row r="229" spans="1:49" ht="16" customHeight="1" thickBot="1" x14ac:dyDescent="0.25">
      <c r="A229" s="6"/>
      <c r="B229" s="400"/>
      <c r="C229" s="100"/>
      <c r="D229" s="100"/>
      <c r="E229" s="721" t="s">
        <v>511</v>
      </c>
      <c r="F229" s="722"/>
      <c r="G229" s="405">
        <f>(1+E47)/(1+I15)-1</f>
        <v>2.4038461538461453E-2</v>
      </c>
      <c r="H229" s="474"/>
      <c r="I229" s="100"/>
      <c r="J229" s="100"/>
      <c r="K229" s="100"/>
      <c r="L229" s="2"/>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row>
    <row r="230" spans="1:49" ht="16" customHeight="1" x14ac:dyDescent="0.2">
      <c r="A230" s="6"/>
      <c r="B230" s="400"/>
      <c r="C230" s="100"/>
      <c r="D230" s="100"/>
      <c r="E230" s="100"/>
      <c r="F230" s="100"/>
      <c r="G230" s="100"/>
      <c r="H230" s="100"/>
      <c r="I230" s="100"/>
      <c r="J230" s="100"/>
      <c r="K230" s="100"/>
      <c r="L230" s="2"/>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row>
    <row r="231" spans="1:49" ht="16" customHeight="1" x14ac:dyDescent="0.2">
      <c r="A231" s="6" t="s">
        <v>577</v>
      </c>
      <c r="B231" s="632" t="s">
        <v>513</v>
      </c>
      <c r="C231" s="632"/>
      <c r="D231" s="632"/>
      <c r="E231" s="632"/>
      <c r="F231" s="632"/>
      <c r="G231" s="632"/>
      <c r="H231" s="632"/>
      <c r="I231" s="632"/>
      <c r="J231" s="100"/>
      <c r="K231" s="100"/>
      <c r="L231" s="2"/>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row>
    <row r="232" spans="1:49" ht="16" customHeight="1" x14ac:dyDescent="0.2">
      <c r="A232" s="6"/>
      <c r="B232" s="400"/>
      <c r="C232" s="100"/>
      <c r="D232" s="100"/>
      <c r="E232" s="100"/>
      <c r="F232" s="100"/>
      <c r="G232" s="100"/>
      <c r="H232" s="100"/>
      <c r="I232" s="100"/>
      <c r="J232" s="100"/>
      <c r="K232" s="100"/>
      <c r="L232" s="2"/>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row>
    <row r="233" spans="1:49" ht="16" customHeight="1" x14ac:dyDescent="0.2">
      <c r="A233" s="6"/>
      <c r="B233" s="400"/>
      <c r="C233" s="100"/>
      <c r="D233" s="100"/>
      <c r="E233" s="100"/>
      <c r="F233" s="100"/>
      <c r="G233" s="100"/>
      <c r="H233" s="100"/>
      <c r="I233" s="100"/>
      <c r="J233" s="100"/>
      <c r="K233" s="100"/>
      <c r="L233" s="2"/>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row>
    <row r="234" spans="1:49" ht="16" customHeight="1" x14ac:dyDescent="0.2">
      <c r="A234" s="6"/>
      <c r="B234" s="400"/>
      <c r="C234" s="100"/>
      <c r="D234" s="100"/>
      <c r="E234" s="100"/>
      <c r="F234" s="100"/>
      <c r="G234" s="100"/>
      <c r="H234" s="100"/>
      <c r="I234" s="100"/>
      <c r="J234" s="100"/>
      <c r="K234" s="100"/>
      <c r="L234" s="2"/>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row>
    <row r="235" spans="1:49" ht="16" customHeight="1" thickBot="1" x14ac:dyDescent="0.25">
      <c r="A235" s="6"/>
      <c r="B235" s="400"/>
      <c r="C235" s="100"/>
      <c r="D235" s="100"/>
      <c r="E235" s="100"/>
      <c r="F235" s="100"/>
      <c r="G235" s="100"/>
      <c r="H235" s="100"/>
      <c r="I235" s="100"/>
      <c r="J235" s="100"/>
      <c r="K235" s="100"/>
      <c r="L235" s="2"/>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row>
    <row r="236" spans="1:49" ht="16" customHeight="1" thickBot="1" x14ac:dyDescent="0.25">
      <c r="A236" s="6"/>
      <c r="B236" s="400"/>
      <c r="C236" s="100"/>
      <c r="D236" s="100"/>
      <c r="E236" s="721" t="s">
        <v>514</v>
      </c>
      <c r="F236" s="722"/>
      <c r="G236" s="405">
        <f>(1+F36)/(1+F33)-1</f>
        <v>2.350636630754166E-2</v>
      </c>
      <c r="H236" s="474"/>
      <c r="I236" s="100"/>
      <c r="J236" s="100"/>
      <c r="K236" s="100"/>
      <c r="L236" s="2"/>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row>
    <row r="237" spans="1:49" ht="16" customHeight="1" x14ac:dyDescent="0.2">
      <c r="A237" s="6"/>
      <c r="B237" s="400"/>
      <c r="C237" s="100"/>
      <c r="D237" s="100"/>
      <c r="E237" s="100"/>
      <c r="F237" s="100"/>
      <c r="G237" s="100"/>
      <c r="H237" s="100"/>
      <c r="I237" s="100"/>
      <c r="J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row>
    <row r="238" spans="1:49" ht="16" customHeight="1" x14ac:dyDescent="0.2">
      <c r="A238" s="6" t="s">
        <v>578</v>
      </c>
      <c r="B238" s="632" t="s">
        <v>632</v>
      </c>
      <c r="C238" s="632"/>
      <c r="D238" s="632"/>
      <c r="E238" s="632"/>
      <c r="F238" s="632"/>
      <c r="G238" s="632"/>
      <c r="H238" s="632"/>
      <c r="I238" s="632"/>
      <c r="J238" s="100"/>
      <c r="K238" s="397"/>
      <c r="L238" s="397"/>
      <c r="M238" s="397"/>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row>
    <row r="239" spans="1:49" ht="16" customHeight="1" x14ac:dyDescent="0.2">
      <c r="A239" s="6"/>
      <c r="B239" s="632"/>
      <c r="C239" s="632"/>
      <c r="D239" s="632"/>
      <c r="E239" s="632"/>
      <c r="F239" s="632"/>
      <c r="G239" s="632"/>
      <c r="H239" s="632"/>
      <c r="I239" s="632"/>
      <c r="J239" s="100"/>
      <c r="K239" s="397"/>
      <c r="L239" s="397"/>
      <c r="M239" s="397"/>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row>
    <row r="240" spans="1:49" ht="16" customHeight="1" x14ac:dyDescent="0.2">
      <c r="A240" s="6"/>
      <c r="B240" s="632"/>
      <c r="C240" s="632"/>
      <c r="D240" s="632"/>
      <c r="E240" s="632"/>
      <c r="F240" s="632"/>
      <c r="G240" s="632"/>
      <c r="H240" s="632"/>
      <c r="I240" s="632"/>
      <c r="J240" s="100"/>
      <c r="K240" s="397"/>
      <c r="L240" s="397"/>
      <c r="M240" s="397"/>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row>
    <row r="241" spans="1:50" ht="16" customHeight="1" x14ac:dyDescent="0.2">
      <c r="A241" s="6"/>
      <c r="B241" s="400"/>
      <c r="C241" s="100"/>
      <c r="D241" s="100"/>
      <c r="E241" s="100"/>
      <c r="F241" s="100"/>
      <c r="G241" s="100"/>
      <c r="H241" s="100"/>
      <c r="I241" s="100"/>
      <c r="J241" s="100"/>
      <c r="K241" s="397"/>
      <c r="L241" s="397"/>
      <c r="M241" s="397"/>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row>
    <row r="242" spans="1:50" ht="16" customHeight="1" x14ac:dyDescent="0.2">
      <c r="A242" s="6"/>
      <c r="B242" s="400"/>
      <c r="C242" s="100"/>
      <c r="D242" s="100"/>
      <c r="E242" s="100"/>
      <c r="F242" s="100"/>
      <c r="G242" s="100"/>
      <c r="H242" s="100"/>
      <c r="I242" s="100"/>
      <c r="J242" s="100"/>
      <c r="K242" s="397"/>
      <c r="L242" s="397"/>
      <c r="M242" s="397"/>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row>
    <row r="243" spans="1:50" ht="16" customHeight="1" x14ac:dyDescent="0.2">
      <c r="A243" s="6"/>
      <c r="B243" s="400"/>
      <c r="C243" s="100"/>
      <c r="D243" s="100"/>
      <c r="E243" s="100"/>
      <c r="F243" s="100"/>
      <c r="G243" s="100"/>
      <c r="H243" s="100"/>
      <c r="I243" s="100"/>
      <c r="J243" s="100"/>
      <c r="K243" s="397"/>
      <c r="L243" s="397"/>
      <c r="M243" s="397"/>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row>
    <row r="244" spans="1:50" ht="16" customHeight="1" x14ac:dyDescent="0.2">
      <c r="A244" s="6"/>
      <c r="B244" s="6"/>
      <c r="C244" s="400"/>
      <c r="D244" s="649" t="s">
        <v>470</v>
      </c>
      <c r="E244" s="649"/>
      <c r="F244" s="649"/>
      <c r="G244" s="100"/>
      <c r="H244" s="100"/>
      <c r="I244" s="100"/>
      <c r="J244" s="100"/>
      <c r="K244" s="100"/>
      <c r="L244" s="397"/>
      <c r="M244" s="397"/>
      <c r="N244" s="397"/>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row>
    <row r="245" spans="1:50" ht="16" customHeight="1" x14ac:dyDescent="0.2">
      <c r="A245" s="6"/>
      <c r="B245" s="6"/>
      <c r="C245" s="400"/>
      <c r="D245" s="385"/>
      <c r="E245" s="627" t="s">
        <v>634</v>
      </c>
      <c r="F245" s="387">
        <v>44835</v>
      </c>
      <c r="G245" s="624" t="s">
        <v>633</v>
      </c>
      <c r="H245" s="100"/>
      <c r="I245" s="100"/>
      <c r="J245" s="100"/>
      <c r="K245" s="100"/>
      <c r="L245" s="397"/>
      <c r="M245" s="397"/>
      <c r="N245" s="397"/>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row>
    <row r="246" spans="1:50" ht="16" customHeight="1" thickBot="1" x14ac:dyDescent="0.25">
      <c r="A246" s="6"/>
      <c r="B246" s="6"/>
      <c r="C246" s="400"/>
      <c r="D246" s="385"/>
      <c r="E246" s="426" t="s">
        <v>516</v>
      </c>
      <c r="F246" s="387">
        <v>45292</v>
      </c>
      <c r="H246" s="100"/>
      <c r="I246" s="100"/>
      <c r="J246" s="100"/>
      <c r="K246" s="100"/>
      <c r="L246" s="397"/>
      <c r="M246" s="397"/>
      <c r="N246" s="397"/>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row>
    <row r="247" spans="1:50" ht="16" customHeight="1" thickBot="1" x14ac:dyDescent="0.25">
      <c r="A247" s="6"/>
      <c r="B247" s="6"/>
      <c r="C247" s="400"/>
      <c r="D247" s="390"/>
      <c r="E247" s="391" t="s">
        <v>469</v>
      </c>
      <c r="F247" s="475">
        <f>YEARFRAC(F245,F246)</f>
        <v>1.25</v>
      </c>
      <c r="G247" s="100"/>
      <c r="H247" s="100"/>
      <c r="I247" s="100"/>
      <c r="J247" s="100"/>
      <c r="K247" s="100"/>
      <c r="L247" s="397"/>
      <c r="M247" s="397"/>
      <c r="N247" s="397"/>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row>
    <row r="248" spans="1:50" ht="16" customHeight="1" x14ac:dyDescent="0.2">
      <c r="A248" s="6"/>
      <c r="B248" s="400"/>
      <c r="C248" s="100"/>
      <c r="D248" s="100"/>
      <c r="E248" s="100"/>
      <c r="F248" s="100"/>
      <c r="G248" s="100"/>
      <c r="H248" s="100"/>
      <c r="I248" s="100"/>
      <c r="J248" s="100"/>
      <c r="K248" s="397"/>
      <c r="L248" s="397"/>
      <c r="M248" s="397"/>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row>
    <row r="249" spans="1:50" ht="16" customHeight="1" thickBot="1" x14ac:dyDescent="0.25">
      <c r="A249" s="6"/>
      <c r="B249" s="400"/>
      <c r="C249" s="100"/>
      <c r="D249" s="100"/>
      <c r="E249" s="100"/>
      <c r="F249" s="100"/>
      <c r="G249" s="100"/>
      <c r="H249" s="100"/>
      <c r="I249" s="100"/>
      <c r="J249" s="100"/>
      <c r="K249" s="397"/>
      <c r="L249" s="397"/>
      <c r="M249" s="397"/>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row>
    <row r="250" spans="1:50" ht="16" customHeight="1" thickBot="1" x14ac:dyDescent="0.25">
      <c r="A250" s="6"/>
      <c r="B250" s="400"/>
      <c r="C250" s="100"/>
      <c r="D250" s="721" t="s">
        <v>515</v>
      </c>
      <c r="E250" s="722"/>
      <c r="F250" s="722"/>
      <c r="G250" s="405">
        <f>(1+G229)*(1+G236)^F247-1</f>
        <v>5.4215637446139997E-2</v>
      </c>
      <c r="H250" s="474"/>
      <c r="I250" s="100"/>
      <c r="J250" s="100"/>
      <c r="K250" s="397"/>
      <c r="L250" s="397"/>
      <c r="M250" s="397"/>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row>
    <row r="251" spans="1:50" ht="16" customHeight="1" x14ac:dyDescent="0.2">
      <c r="A251" s="6"/>
      <c r="B251" s="400"/>
      <c r="C251" s="100"/>
      <c r="D251" s="100"/>
      <c r="E251" s="100"/>
      <c r="F251" s="100"/>
      <c r="G251" s="100"/>
      <c r="H251" s="100"/>
      <c r="I251" s="100"/>
      <c r="J251" s="100"/>
      <c r="K251" s="397"/>
      <c r="L251" s="397"/>
      <c r="M251" s="397"/>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c r="AU251" s="100"/>
      <c r="AV251" s="100"/>
      <c r="AW251" s="100"/>
    </row>
    <row r="252" spans="1:50" ht="16" customHeight="1" x14ac:dyDescent="0.2">
      <c r="A252" s="6" t="s">
        <v>579</v>
      </c>
      <c r="B252" s="632" t="s">
        <v>517</v>
      </c>
      <c r="C252" s="632"/>
      <c r="D252" s="632"/>
      <c r="E252" s="632"/>
      <c r="F252" s="632"/>
      <c r="G252" s="632"/>
      <c r="H252" s="632"/>
      <c r="I252" s="632"/>
      <c r="J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row>
    <row r="253" spans="1:50" ht="16" customHeight="1" x14ac:dyDescent="0.2">
      <c r="A253" s="6"/>
      <c r="B253" s="632"/>
      <c r="C253" s="632"/>
      <c r="D253" s="632"/>
      <c r="E253" s="632"/>
      <c r="F253" s="632"/>
      <c r="G253" s="632"/>
      <c r="H253" s="632"/>
      <c r="I253" s="632"/>
      <c r="J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row>
    <row r="254" spans="1:50" ht="16" customHeight="1" x14ac:dyDescent="0.2">
      <c r="A254" s="6"/>
      <c r="B254" s="400"/>
      <c r="C254" s="100"/>
      <c r="D254" s="100"/>
      <c r="E254" s="100"/>
      <c r="F254" s="100"/>
      <c r="G254" s="100"/>
      <c r="H254" s="100"/>
      <c r="I254" s="100"/>
      <c r="J254" s="100"/>
      <c r="K254" s="100"/>
      <c r="L254" s="2"/>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c r="AN254" s="100"/>
      <c r="AO254" s="100"/>
      <c r="AP254" s="100"/>
      <c r="AQ254" s="100"/>
      <c r="AR254" s="100"/>
      <c r="AS254" s="100"/>
      <c r="AT254" s="100"/>
      <c r="AU254" s="100"/>
      <c r="AV254" s="100"/>
      <c r="AW254" s="100"/>
    </row>
    <row r="255" spans="1:50" ht="16" customHeight="1" x14ac:dyDescent="0.2">
      <c r="A255" s="6"/>
      <c r="B255" s="400"/>
      <c r="C255" s="100"/>
      <c r="D255" s="100"/>
      <c r="E255" s="100"/>
      <c r="F255" s="100"/>
      <c r="G255" s="100"/>
      <c r="H255" s="100"/>
      <c r="I255" s="100"/>
      <c r="J255" s="100"/>
      <c r="K255" s="100"/>
      <c r="L255" s="2"/>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c r="AU255" s="100"/>
      <c r="AV255" s="100"/>
      <c r="AW255" s="100"/>
    </row>
    <row r="256" spans="1:50" ht="16" customHeight="1" thickBot="1" x14ac:dyDescent="0.25">
      <c r="A256" s="6"/>
      <c r="B256" s="400"/>
      <c r="C256" s="100"/>
      <c r="D256" s="100"/>
      <c r="E256" s="100"/>
      <c r="F256" s="100"/>
      <c r="G256" s="100"/>
      <c r="H256" s="100"/>
      <c r="I256" s="100"/>
      <c r="J256" s="100"/>
      <c r="K256" s="100"/>
      <c r="L256" s="2"/>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c r="AN256" s="100"/>
      <c r="AO256" s="100"/>
      <c r="AP256" s="100"/>
      <c r="AQ256" s="100"/>
      <c r="AR256" s="100"/>
      <c r="AS256" s="100"/>
      <c r="AT256" s="100"/>
      <c r="AU256" s="100"/>
      <c r="AV256" s="100"/>
      <c r="AW256" s="100"/>
    </row>
    <row r="257" spans="1:65" ht="16" customHeight="1" thickBot="1" x14ac:dyDescent="0.25">
      <c r="A257" s="6"/>
      <c r="B257" s="400"/>
      <c r="C257" s="100"/>
      <c r="D257" s="100"/>
      <c r="E257" s="721" t="s">
        <v>510</v>
      </c>
      <c r="F257" s="722"/>
      <c r="G257" s="405">
        <f>G220*G210+(1-G220)*G250</f>
        <v>0.11730609185962175</v>
      </c>
      <c r="H257" s="100"/>
      <c r="I257" s="100"/>
      <c r="J257" s="100"/>
      <c r="K257" s="100"/>
      <c r="L257" s="2"/>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row>
    <row r="258" spans="1:65" ht="16" customHeight="1" x14ac:dyDescent="0.2">
      <c r="A258" s="6"/>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c r="AN258" s="100"/>
      <c r="AO258" s="100"/>
      <c r="AP258" s="100"/>
      <c r="AQ258" s="100"/>
      <c r="AR258" s="100"/>
      <c r="AS258" s="100"/>
      <c r="AT258" s="100"/>
      <c r="AU258" s="100"/>
      <c r="AV258" s="100"/>
      <c r="AW258" s="100"/>
    </row>
    <row r="259" spans="1:65" ht="19" x14ac:dyDescent="0.25">
      <c r="A259" s="4" t="s">
        <v>3</v>
      </c>
      <c r="B259" s="100"/>
      <c r="C259" s="100"/>
      <c r="D259" s="100"/>
      <c r="E259" s="100"/>
      <c r="F259" s="100"/>
      <c r="G259" s="100"/>
      <c r="H259" s="100"/>
      <c r="I259" s="100"/>
      <c r="J259" s="100"/>
      <c r="K259" s="100"/>
      <c r="L259" s="2"/>
      <c r="M259" s="2"/>
      <c r="N259" s="2"/>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100"/>
    </row>
    <row r="260" spans="1:65" ht="16" customHeight="1" x14ac:dyDescent="0.25">
      <c r="A260" s="4"/>
      <c r="B260" s="719" t="s">
        <v>635</v>
      </c>
      <c r="C260" s="720"/>
      <c r="D260" s="720"/>
      <c r="E260" s="720"/>
      <c r="F260" s="720"/>
      <c r="G260" s="720"/>
      <c r="H260" s="720"/>
      <c r="I260" s="720"/>
      <c r="J260" s="100"/>
      <c r="K260" s="100"/>
      <c r="L260" s="2"/>
      <c r="M260" s="2"/>
      <c r="N260" s="2"/>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00"/>
      <c r="AN260" s="100"/>
      <c r="AO260" s="100"/>
      <c r="AP260" s="100"/>
      <c r="AQ260" s="100"/>
      <c r="AR260" s="100"/>
      <c r="AS260" s="100"/>
      <c r="AT260" s="100"/>
      <c r="AU260" s="100"/>
      <c r="AV260" s="100"/>
      <c r="AW260" s="100"/>
    </row>
    <row r="261" spans="1:65" ht="16" customHeight="1" x14ac:dyDescent="0.25">
      <c r="A261" s="4"/>
      <c r="B261" s="720"/>
      <c r="C261" s="720"/>
      <c r="D261" s="720"/>
      <c r="E261" s="720"/>
      <c r="F261" s="720"/>
      <c r="G261" s="720"/>
      <c r="H261" s="720"/>
      <c r="I261" s="720"/>
      <c r="J261" s="100"/>
      <c r="K261" s="100"/>
      <c r="L261" s="2"/>
      <c r="M261" s="2"/>
      <c r="N261" s="2"/>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c r="AO261" s="100"/>
      <c r="AP261" s="100"/>
      <c r="AQ261" s="100"/>
      <c r="AR261" s="100"/>
      <c r="AS261" s="100"/>
      <c r="AT261" s="100"/>
      <c r="AU261" s="100"/>
      <c r="AV261" s="100"/>
      <c r="AW261" s="100"/>
    </row>
    <row r="262" spans="1:65" ht="16" customHeight="1" x14ac:dyDescent="0.25">
      <c r="A262" s="4"/>
      <c r="B262" s="720"/>
      <c r="C262" s="720"/>
      <c r="D262" s="720"/>
      <c r="E262" s="720"/>
      <c r="F262" s="720"/>
      <c r="G262" s="720"/>
      <c r="H262" s="720"/>
      <c r="I262" s="720"/>
      <c r="J262" s="100"/>
      <c r="K262" s="100"/>
      <c r="L262" s="2"/>
      <c r="M262" s="2"/>
      <c r="N262" s="2"/>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c r="AO262" s="100"/>
      <c r="AP262" s="100"/>
      <c r="AQ262" s="100"/>
      <c r="AR262" s="100"/>
      <c r="AS262" s="100"/>
      <c r="AT262" s="100"/>
      <c r="AU262" s="100"/>
      <c r="AV262" s="100"/>
      <c r="AW262" s="100"/>
    </row>
    <row r="263" spans="1:65" ht="16" customHeight="1" x14ac:dyDescent="0.25">
      <c r="A263" s="4"/>
      <c r="B263" s="720"/>
      <c r="C263" s="720"/>
      <c r="D263" s="720"/>
      <c r="E263" s="720"/>
      <c r="F263" s="720"/>
      <c r="G263" s="720"/>
      <c r="H263" s="720"/>
      <c r="I263" s="720"/>
      <c r="J263" s="100"/>
      <c r="K263" s="100"/>
      <c r="L263" s="2"/>
      <c r="M263" s="2"/>
      <c r="N263" s="2"/>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row>
    <row r="264" spans="1:65" ht="16" customHeight="1" x14ac:dyDescent="0.25">
      <c r="A264" s="4"/>
      <c r="B264" s="720"/>
      <c r="C264" s="720"/>
      <c r="D264" s="720"/>
      <c r="E264" s="720"/>
      <c r="F264" s="720"/>
      <c r="G264" s="720"/>
      <c r="H264" s="720"/>
      <c r="I264" s="720"/>
      <c r="J264" s="100"/>
      <c r="K264" s="100"/>
      <c r="L264" s="2"/>
      <c r="M264" s="2"/>
      <c r="N264" s="2"/>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row>
    <row r="265" spans="1:65" ht="16" customHeight="1" x14ac:dyDescent="0.25">
      <c r="A265" s="4"/>
      <c r="B265" s="720"/>
      <c r="C265" s="720"/>
      <c r="D265" s="720"/>
      <c r="E265" s="720"/>
      <c r="F265" s="720"/>
      <c r="G265" s="720"/>
      <c r="H265" s="720"/>
      <c r="I265" s="720"/>
      <c r="J265" s="100"/>
      <c r="K265" s="100"/>
      <c r="L265" s="2"/>
      <c r="M265" s="2"/>
      <c r="N265" s="2"/>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row>
    <row r="266" spans="1:65" ht="16" customHeight="1" x14ac:dyDescent="0.25">
      <c r="A266" s="4"/>
      <c r="B266" s="720"/>
      <c r="C266" s="720"/>
      <c r="D266" s="720"/>
      <c r="E266" s="720"/>
      <c r="F266" s="720"/>
      <c r="G266" s="720"/>
      <c r="H266" s="720"/>
      <c r="I266" s="720"/>
      <c r="J266" s="100"/>
      <c r="K266" s="100"/>
      <c r="L266" s="2"/>
      <c r="M266" s="2"/>
      <c r="N266" s="2"/>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row>
    <row r="267" spans="1:65" ht="16" customHeight="1" x14ac:dyDescent="0.25">
      <c r="A267" s="4"/>
      <c r="B267" s="100"/>
      <c r="C267" s="100"/>
      <c r="D267" s="100"/>
      <c r="E267" s="100"/>
      <c r="F267" s="100"/>
      <c r="G267" s="100"/>
      <c r="H267" s="100"/>
      <c r="I267" s="100"/>
      <c r="J267" s="100"/>
      <c r="K267" s="100"/>
      <c r="L267" s="2"/>
      <c r="M267" s="2"/>
      <c r="N267" s="2"/>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row>
    <row r="268" spans="1:65" ht="19" x14ac:dyDescent="0.25">
      <c r="A268" s="100"/>
      <c r="B268" s="5" t="s">
        <v>491</v>
      </c>
      <c r="C268" s="100"/>
      <c r="D268" s="100"/>
      <c r="E268" s="100"/>
      <c r="F268" s="100"/>
      <c r="G268" s="100"/>
      <c r="H268" s="100"/>
      <c r="I268" s="100"/>
      <c r="J268" s="100"/>
      <c r="K268" s="100"/>
      <c r="L268" s="2"/>
      <c r="M268" s="2"/>
      <c r="N268" s="2"/>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row>
    <row r="269" spans="1:65" ht="16" customHeight="1" x14ac:dyDescent="0.2">
      <c r="A269" s="2"/>
      <c r="B269" s="715" t="s">
        <v>492</v>
      </c>
      <c r="C269" s="646"/>
      <c r="D269" s="646"/>
      <c r="E269" s="646"/>
      <c r="F269" s="646"/>
      <c r="G269" s="646"/>
      <c r="H269" s="646"/>
      <c r="I269" s="646"/>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row>
    <row r="270" spans="1:65" x14ac:dyDescent="0.2">
      <c r="A270" s="2"/>
      <c r="B270" s="646"/>
      <c r="C270" s="646"/>
      <c r="D270" s="646"/>
      <c r="E270" s="646"/>
      <c r="F270" s="646"/>
      <c r="G270" s="646"/>
      <c r="H270" s="646"/>
      <c r="I270" s="646"/>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row>
    <row r="271" spans="1:65" ht="16" customHeight="1" x14ac:dyDescent="0.25">
      <c r="A271" s="4"/>
      <c r="B271" s="100"/>
      <c r="C271" s="100"/>
      <c r="D271" s="100"/>
      <c r="E271" s="100"/>
      <c r="F271" s="100"/>
      <c r="G271" s="100"/>
      <c r="H271" s="100"/>
      <c r="I271" s="100"/>
      <c r="J271" s="100"/>
      <c r="K271" s="100"/>
      <c r="L271" s="2"/>
      <c r="M271" s="2"/>
      <c r="N271" s="2"/>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row>
    <row r="272" spans="1:65" ht="16" customHeight="1" x14ac:dyDescent="0.2">
      <c r="A272" s="2"/>
      <c r="B272" s="650" t="s">
        <v>575</v>
      </c>
      <c r="C272" s="715"/>
      <c r="D272" s="715"/>
      <c r="E272" s="715"/>
      <c r="F272" s="715"/>
      <c r="G272" s="715"/>
      <c r="H272" s="715"/>
      <c r="I272" s="715"/>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row>
    <row r="273" spans="1:65" x14ac:dyDescent="0.2">
      <c r="A273" s="2"/>
      <c r="B273" s="715"/>
      <c r="C273" s="715"/>
      <c r="D273" s="715"/>
      <c r="E273" s="715"/>
      <c r="F273" s="715"/>
      <c r="G273" s="715"/>
      <c r="H273" s="715"/>
      <c r="I273" s="715"/>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row>
    <row r="274" spans="1:65" x14ac:dyDescent="0.2">
      <c r="A274" s="2"/>
      <c r="B274" s="715"/>
      <c r="C274" s="715"/>
      <c r="D274" s="715"/>
      <c r="E274" s="715"/>
      <c r="F274" s="715"/>
      <c r="G274" s="715"/>
      <c r="H274" s="715"/>
      <c r="I274" s="715"/>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row>
    <row r="275" spans="1:65" x14ac:dyDescent="0.2">
      <c r="A275" s="2"/>
      <c r="B275" s="715"/>
      <c r="C275" s="715"/>
      <c r="D275" s="715"/>
      <c r="E275" s="715"/>
      <c r="F275" s="715"/>
      <c r="G275" s="715"/>
      <c r="H275" s="715"/>
      <c r="I275" s="715"/>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row>
    <row r="276" spans="1:65" x14ac:dyDescent="0.2">
      <c r="A276" s="2"/>
      <c r="B276" s="715"/>
      <c r="C276" s="715"/>
      <c r="D276" s="715"/>
      <c r="E276" s="715"/>
      <c r="F276" s="715"/>
      <c r="G276" s="715"/>
      <c r="H276" s="715"/>
      <c r="I276" s="715"/>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row>
    <row r="277" spans="1:65" x14ac:dyDescent="0.2">
      <c r="A277" s="2"/>
      <c r="B277" s="715"/>
      <c r="C277" s="715"/>
      <c r="D277" s="715"/>
      <c r="E277" s="715"/>
      <c r="F277" s="715"/>
      <c r="G277" s="715"/>
      <c r="H277" s="715"/>
      <c r="I277" s="715"/>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row>
    <row r="278" spans="1:65" x14ac:dyDescent="0.2">
      <c r="A278" s="2"/>
      <c r="B278" s="715"/>
      <c r="C278" s="715"/>
      <c r="D278" s="715"/>
      <c r="E278" s="715"/>
      <c r="F278" s="715"/>
      <c r="G278" s="715"/>
      <c r="H278" s="715"/>
      <c r="I278" s="715"/>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row>
    <row r="279" spans="1:65" x14ac:dyDescent="0.2">
      <c r="A279" s="2"/>
      <c r="B279" s="715"/>
      <c r="C279" s="715"/>
      <c r="D279" s="715"/>
      <c r="E279" s="715"/>
      <c r="F279" s="715"/>
      <c r="G279" s="715"/>
      <c r="H279" s="715"/>
      <c r="I279" s="715"/>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row>
    <row r="280" spans="1:65" x14ac:dyDescent="0.2">
      <c r="A280" s="2"/>
      <c r="B280" s="715"/>
      <c r="C280" s="715"/>
      <c r="D280" s="715"/>
      <c r="E280" s="715"/>
      <c r="F280" s="715"/>
      <c r="G280" s="715"/>
      <c r="H280" s="715"/>
      <c r="I280" s="715"/>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row>
    <row r="281" spans="1:65" ht="16" customHeight="1" x14ac:dyDescent="0.2">
      <c r="A281" s="6"/>
      <c r="B281" s="715"/>
      <c r="C281" s="715"/>
      <c r="D281" s="715"/>
      <c r="E281" s="715"/>
      <c r="F281" s="715"/>
      <c r="G281" s="715"/>
      <c r="H281" s="715"/>
      <c r="I281" s="715"/>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row>
    <row r="282" spans="1:65" ht="16" customHeight="1" x14ac:dyDescent="0.2">
      <c r="A282" s="6"/>
      <c r="B282" s="715"/>
      <c r="C282" s="715"/>
      <c r="D282" s="715"/>
      <c r="E282" s="715"/>
      <c r="F282" s="715"/>
      <c r="G282" s="715"/>
      <c r="H282" s="715"/>
      <c r="I282" s="715"/>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row>
    <row r="283" spans="1:65" ht="16" customHeight="1" x14ac:dyDescent="0.2">
      <c r="A283" s="6"/>
      <c r="B283" s="715"/>
      <c r="C283" s="715"/>
      <c r="D283" s="715"/>
      <c r="E283" s="715"/>
      <c r="F283" s="715"/>
      <c r="G283" s="715"/>
      <c r="H283" s="715"/>
      <c r="I283" s="715"/>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row>
    <row r="284" spans="1:65" ht="16" customHeight="1" x14ac:dyDescent="0.2">
      <c r="A284" s="6"/>
      <c r="B284" s="715"/>
      <c r="C284" s="715"/>
      <c r="D284" s="715"/>
      <c r="E284" s="715"/>
      <c r="F284" s="715"/>
      <c r="G284" s="715"/>
      <c r="H284" s="715"/>
      <c r="I284" s="715"/>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row>
    <row r="285" spans="1:65" ht="16" customHeight="1" x14ac:dyDescent="0.2">
      <c r="A285" s="6"/>
      <c r="B285" s="715"/>
      <c r="C285" s="715"/>
      <c r="D285" s="715"/>
      <c r="E285" s="715"/>
      <c r="F285" s="715"/>
      <c r="G285" s="715"/>
      <c r="H285" s="715"/>
      <c r="I285" s="715"/>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row>
    <row r="286" spans="1:65" ht="16" customHeight="1" x14ac:dyDescent="0.2">
      <c r="A286" s="6"/>
      <c r="B286" s="715"/>
      <c r="C286" s="715"/>
      <c r="D286" s="715"/>
      <c r="E286" s="715"/>
      <c r="F286" s="715"/>
      <c r="G286" s="715"/>
      <c r="H286" s="715"/>
      <c r="I286" s="715"/>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row>
    <row r="287" spans="1:65" ht="16" customHeight="1" x14ac:dyDescent="0.2">
      <c r="A287" s="6"/>
      <c r="B287" s="715"/>
      <c r="C287" s="715"/>
      <c r="D287" s="715"/>
      <c r="E287" s="715"/>
      <c r="F287" s="715"/>
      <c r="G287" s="715"/>
      <c r="H287" s="715"/>
      <c r="I287" s="715"/>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row>
    <row r="288" spans="1:65" ht="16" customHeight="1" x14ac:dyDescent="0.2">
      <c r="A288" s="6"/>
      <c r="B288" s="715"/>
      <c r="C288" s="715"/>
      <c r="D288" s="715"/>
      <c r="E288" s="715"/>
      <c r="F288" s="715"/>
      <c r="G288" s="715"/>
      <c r="H288" s="715"/>
      <c r="I288" s="715"/>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row>
    <row r="289" spans="1:65" x14ac:dyDescent="0.2">
      <c r="A289" s="2"/>
      <c r="B289" s="715"/>
      <c r="C289" s="715"/>
      <c r="D289" s="715"/>
      <c r="E289" s="715"/>
      <c r="F289" s="715"/>
      <c r="G289" s="715"/>
      <c r="H289" s="715"/>
      <c r="I289" s="715"/>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row>
    <row r="290" spans="1:65" x14ac:dyDescent="0.2">
      <c r="A290" s="2"/>
      <c r="B290" s="715"/>
      <c r="C290" s="715"/>
      <c r="D290" s="715"/>
      <c r="E290" s="715"/>
      <c r="F290" s="715"/>
      <c r="G290" s="715"/>
      <c r="H290" s="715"/>
      <c r="I290" s="715"/>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row>
    <row r="291" spans="1:65" x14ac:dyDescent="0.2">
      <c r="A291" s="2"/>
      <c r="B291" s="715"/>
      <c r="C291" s="715"/>
      <c r="D291" s="715"/>
      <c r="E291" s="715"/>
      <c r="F291" s="715"/>
      <c r="G291" s="715"/>
      <c r="H291" s="715"/>
      <c r="I291" s="715"/>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row>
    <row r="292" spans="1:65" x14ac:dyDescent="0.2">
      <c r="A292" s="2"/>
      <c r="B292" s="100"/>
      <c r="C292" s="100"/>
      <c r="D292" s="100"/>
      <c r="E292" s="100"/>
      <c r="F292" s="100"/>
      <c r="G292" s="100"/>
      <c r="H292" s="100"/>
      <c r="I292" s="100"/>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row>
    <row r="293" spans="1:65" ht="19" x14ac:dyDescent="0.25">
      <c r="A293" s="4" t="s">
        <v>1</v>
      </c>
      <c r="B293" s="100"/>
      <c r="C293" s="100"/>
      <c r="D293" s="100"/>
      <c r="E293" s="100"/>
      <c r="F293" s="100"/>
      <c r="G293" s="100"/>
      <c r="H293" s="100"/>
      <c r="I293" s="100"/>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row>
    <row r="294" spans="1:65" x14ac:dyDescent="0.2">
      <c r="A294" s="2"/>
      <c r="B294" s="605" t="s">
        <v>574</v>
      </c>
      <c r="C294" s="100"/>
      <c r="D294" s="100"/>
      <c r="E294" s="100"/>
      <c r="F294" s="100"/>
      <c r="G294" s="100"/>
      <c r="H294" s="100"/>
      <c r="I294" s="100"/>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row>
    <row r="295" spans="1:65" x14ac:dyDescent="0.2">
      <c r="A295" s="2"/>
      <c r="B295" s="100"/>
      <c r="C295" s="100"/>
      <c r="D295" s="100"/>
      <c r="E295" s="100"/>
      <c r="F295" s="100"/>
      <c r="G295" s="100"/>
      <c r="H295" s="100"/>
      <c r="I295" s="100"/>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row>
    <row r="296" spans="1:65" ht="19" x14ac:dyDescent="0.25">
      <c r="A296" s="4" t="s">
        <v>0</v>
      </c>
      <c r="B296" s="100"/>
      <c r="C296" s="100"/>
      <c r="D296" s="100"/>
      <c r="E296" s="100"/>
      <c r="F296" s="100"/>
      <c r="G296" s="100"/>
      <c r="H296" s="100"/>
      <c r="I296" s="100"/>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row>
    <row r="297" spans="1:65" ht="16" customHeight="1" x14ac:dyDescent="0.2">
      <c r="A297" s="2"/>
      <c r="B297" s="605" t="s">
        <v>599</v>
      </c>
      <c r="C297" s="100"/>
      <c r="D297" s="100"/>
      <c r="E297" s="714" t="s">
        <v>636</v>
      </c>
      <c r="F297" s="714"/>
      <c r="G297" s="714"/>
      <c r="H297" s="714"/>
      <c r="I297" s="714"/>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row>
    <row r="298" spans="1:65" x14ac:dyDescent="0.2">
      <c r="A298" s="2"/>
      <c r="B298" s="605" t="s">
        <v>612</v>
      </c>
      <c r="C298" s="100"/>
      <c r="D298" s="100"/>
      <c r="E298" s="714"/>
      <c r="F298" s="714"/>
      <c r="G298" s="714"/>
      <c r="H298" s="714"/>
      <c r="I298" s="714"/>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row>
    <row r="299" spans="1:65" x14ac:dyDescent="0.2">
      <c r="A299" s="2"/>
      <c r="B299" s="605" t="s">
        <v>604</v>
      </c>
      <c r="C299" s="100"/>
      <c r="D299" s="100"/>
      <c r="E299" s="714"/>
      <c r="F299" s="714"/>
      <c r="G299" s="714"/>
      <c r="H299" s="714"/>
      <c r="I299" s="714"/>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row>
    <row r="300" spans="1:65" x14ac:dyDescent="0.2">
      <c r="A300" s="2"/>
      <c r="B300" s="605" t="s">
        <v>637</v>
      </c>
      <c r="C300" s="100"/>
      <c r="D300" s="100"/>
      <c r="E300" s="714"/>
      <c r="F300" s="714"/>
      <c r="G300" s="714"/>
      <c r="H300" s="714"/>
      <c r="I300" s="714"/>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row>
    <row r="301" spans="1:65" x14ac:dyDescent="0.2">
      <c r="A301" s="2"/>
      <c r="B301" s="605" t="s">
        <v>628</v>
      </c>
      <c r="C301" s="100"/>
      <c r="D301" s="100"/>
      <c r="E301" s="714"/>
      <c r="F301" s="714"/>
      <c r="G301" s="714"/>
      <c r="H301" s="714"/>
      <c r="I301" s="714"/>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row>
    <row r="302" spans="1:65" x14ac:dyDescent="0.2">
      <c r="A302" s="2"/>
      <c r="B302" s="605" t="s">
        <v>638</v>
      </c>
      <c r="C302" s="100"/>
      <c r="D302" s="100"/>
      <c r="E302" s="100"/>
      <c r="F302" s="100"/>
      <c r="G302" s="100"/>
      <c r="H302" s="100"/>
      <c r="I302" s="100"/>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row>
    <row r="303" spans="1:65" x14ac:dyDescent="0.2">
      <c r="A303" s="2"/>
      <c r="B303" s="628" t="s">
        <v>640</v>
      </c>
      <c r="C303" s="100"/>
      <c r="D303" s="100"/>
      <c r="E303" s="100"/>
      <c r="F303" s="100"/>
      <c r="G303" s="100"/>
      <c r="H303" s="100"/>
      <c r="I303" s="100"/>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row>
    <row r="304" spans="1:65" x14ac:dyDescent="0.2">
      <c r="A304" s="2"/>
      <c r="B304" s="605" t="s">
        <v>605</v>
      </c>
      <c r="C304" s="100"/>
      <c r="D304" s="100"/>
      <c r="E304" s="100"/>
      <c r="F304" s="100"/>
      <c r="G304" s="100"/>
      <c r="H304" s="100"/>
      <c r="I304" s="100"/>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row>
    <row r="305" spans="2:2" x14ac:dyDescent="0.2">
      <c r="B305" s="605" t="s">
        <v>639</v>
      </c>
    </row>
    <row r="306" spans="2:2" x14ac:dyDescent="0.2">
      <c r="B306" s="605" t="s">
        <v>600</v>
      </c>
    </row>
    <row r="307" spans="2:2" x14ac:dyDescent="0.2">
      <c r="B307" s="605" t="s">
        <v>606</v>
      </c>
    </row>
    <row r="308" spans="2:2" x14ac:dyDescent="0.2">
      <c r="B308" s="605" t="s">
        <v>607</v>
      </c>
    </row>
    <row r="309" spans="2:2" x14ac:dyDescent="0.2">
      <c r="B309" s="629" t="s">
        <v>643</v>
      </c>
    </row>
    <row r="310" spans="2:2" x14ac:dyDescent="0.2">
      <c r="B310" s="605" t="s">
        <v>608</v>
      </c>
    </row>
    <row r="311" spans="2:2" x14ac:dyDescent="0.2">
      <c r="B311" s="605" t="s">
        <v>601</v>
      </c>
    </row>
    <row r="312" spans="2:2" x14ac:dyDescent="0.2">
      <c r="B312" s="605" t="s">
        <v>609</v>
      </c>
    </row>
    <row r="313" spans="2:2" x14ac:dyDescent="0.2">
      <c r="B313" s="605" t="s">
        <v>602</v>
      </c>
    </row>
    <row r="314" spans="2:2" x14ac:dyDescent="0.2">
      <c r="B314" s="605" t="s">
        <v>603</v>
      </c>
    </row>
    <row r="315" spans="2:2" x14ac:dyDescent="0.2">
      <c r="B315" s="605" t="s">
        <v>610</v>
      </c>
    </row>
    <row r="316" spans="2:2" x14ac:dyDescent="0.2">
      <c r="B316" s="605" t="s">
        <v>611</v>
      </c>
    </row>
  </sheetData>
  <mergeCells count="30">
    <mergeCell ref="B4:I5"/>
    <mergeCell ref="B17:I18"/>
    <mergeCell ref="H7:I7"/>
    <mergeCell ref="C21:H21"/>
    <mergeCell ref="B31:I32"/>
    <mergeCell ref="B28:I29"/>
    <mergeCell ref="B146:I147"/>
    <mergeCell ref="B57:I58"/>
    <mergeCell ref="B106:I108"/>
    <mergeCell ref="B222:I224"/>
    <mergeCell ref="B231:I231"/>
    <mergeCell ref="B214:I215"/>
    <mergeCell ref="B71:I73"/>
    <mergeCell ref="C97:J97"/>
    <mergeCell ref="E297:I301"/>
    <mergeCell ref="B272:I291"/>
    <mergeCell ref="B172:I173"/>
    <mergeCell ref="B186:I187"/>
    <mergeCell ref="I136:I138"/>
    <mergeCell ref="B269:I270"/>
    <mergeCell ref="B260:I266"/>
    <mergeCell ref="B252:I253"/>
    <mergeCell ref="E229:F229"/>
    <mergeCell ref="E257:F257"/>
    <mergeCell ref="B204:I205"/>
    <mergeCell ref="E210:F210"/>
    <mergeCell ref="E236:F236"/>
    <mergeCell ref="D244:F244"/>
    <mergeCell ref="B238:I240"/>
    <mergeCell ref="D250:F250"/>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4D1C-4A1F-6D40-BBA6-058C7F551079}">
  <sheetPr codeName="Sheet3"/>
  <dimension ref="A1:BM114"/>
  <sheetViews>
    <sheetView showGridLines="0" zoomScale="120" zoomScaleNormal="120" workbookViewId="0"/>
  </sheetViews>
  <sheetFormatPr baseColWidth="10" defaultColWidth="10.83203125" defaultRowHeight="16" x14ac:dyDescent="0.2"/>
  <cols>
    <col min="1" max="1" width="10.83203125" style="1"/>
    <col min="2" max="3" width="10.83203125" style="1" customWidth="1"/>
    <col min="4" max="5" width="10.83203125" style="1"/>
    <col min="6" max="8" width="10.83203125" style="1" customWidth="1"/>
    <col min="9" max="9" width="10.83203125" style="1"/>
    <col min="10" max="10" width="10.83203125" style="1" customWidth="1"/>
    <col min="11" max="16384" width="10.83203125" style="1"/>
  </cols>
  <sheetData>
    <row r="1" spans="1:49" ht="19" x14ac:dyDescent="0.25">
      <c r="A1" s="29" t="s">
        <v>252</v>
      </c>
      <c r="B1" s="98"/>
      <c r="C1" s="98"/>
      <c r="D1" s="98"/>
      <c r="E1" s="98"/>
      <c r="F1" s="98"/>
      <c r="G1" s="98"/>
      <c r="H1" s="98"/>
      <c r="I1" s="98"/>
      <c r="J1" s="99"/>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49" x14ac:dyDescent="0.2">
      <c r="A2" s="101"/>
      <c r="B2" s="98"/>
      <c r="C2" s="98"/>
      <c r="D2" s="98"/>
      <c r="E2" s="98"/>
      <c r="F2" s="98"/>
      <c r="G2" s="98"/>
      <c r="H2" s="98"/>
      <c r="I2" s="98"/>
      <c r="J2" s="99"/>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x14ac:dyDescent="0.2">
      <c r="A3" s="102"/>
      <c r="B3" s="28" t="s">
        <v>11</v>
      </c>
      <c r="C3" s="98"/>
      <c r="D3" s="98"/>
      <c r="E3" s="98"/>
      <c r="F3" s="98"/>
      <c r="G3" s="98"/>
      <c r="H3" s="98"/>
      <c r="I3" s="98"/>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row>
    <row r="4" spans="1:49" ht="16" customHeight="1" x14ac:dyDescent="0.2">
      <c r="A4" s="102"/>
      <c r="B4" s="202" t="s">
        <v>253</v>
      </c>
      <c r="C4" s="103"/>
      <c r="D4" s="103"/>
      <c r="E4" s="103"/>
      <c r="F4" s="103"/>
      <c r="G4" s="103"/>
      <c r="H4" s="103"/>
      <c r="I4" s="103"/>
      <c r="J4" s="99"/>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1:49" x14ac:dyDescent="0.2">
      <c r="A5" s="102"/>
      <c r="B5" s="98"/>
      <c r="C5" s="98"/>
      <c r="D5" s="98"/>
      <c r="E5" s="98"/>
      <c r="F5" s="98"/>
      <c r="G5" s="98"/>
      <c r="H5" s="98"/>
      <c r="I5" s="98"/>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x14ac:dyDescent="0.2">
      <c r="A6" s="102"/>
      <c r="B6" s="98"/>
      <c r="C6" s="528"/>
      <c r="D6" s="573" t="s">
        <v>204</v>
      </c>
      <c r="E6" s="98"/>
      <c r="F6" s="98"/>
      <c r="G6" s="98"/>
      <c r="H6" s="98"/>
      <c r="I6" s="98"/>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ht="16" customHeight="1" x14ac:dyDescent="0.2">
      <c r="A7" s="102"/>
      <c r="B7" s="98"/>
      <c r="C7" s="574" t="s">
        <v>254</v>
      </c>
      <c r="D7" s="203" t="s">
        <v>255</v>
      </c>
      <c r="E7" s="98"/>
      <c r="F7" s="98"/>
      <c r="G7" s="98"/>
      <c r="H7" s="98"/>
      <c r="I7" s="98"/>
      <c r="J7" s="99"/>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x14ac:dyDescent="0.2">
      <c r="A8" s="102"/>
      <c r="B8" s="98"/>
      <c r="C8" s="575">
        <v>44927</v>
      </c>
      <c r="D8" s="518">
        <v>192</v>
      </c>
      <c r="E8" s="98"/>
      <c r="F8" s="98"/>
      <c r="G8" s="98"/>
      <c r="H8" s="98"/>
      <c r="I8" s="98"/>
      <c r="J8" s="99"/>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49" x14ac:dyDescent="0.2">
      <c r="A9" s="102"/>
      <c r="B9" s="98"/>
      <c r="C9" s="576">
        <v>44958</v>
      </c>
      <c r="D9" s="518">
        <v>192</v>
      </c>
      <c r="E9" s="98"/>
      <c r="F9" s="98"/>
      <c r="G9" s="98"/>
      <c r="H9" s="98"/>
      <c r="I9" s="98"/>
      <c r="J9" s="99"/>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x14ac:dyDescent="0.2">
      <c r="A10" s="102"/>
      <c r="B10" s="98"/>
      <c r="C10" s="576">
        <v>44986</v>
      </c>
      <c r="D10" s="518">
        <v>184</v>
      </c>
      <c r="E10" s="98"/>
      <c r="F10" s="98"/>
      <c r="G10" s="98"/>
      <c r="H10" s="98"/>
      <c r="I10" s="98"/>
      <c r="J10" s="99"/>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x14ac:dyDescent="0.2">
      <c r="A11" s="102"/>
      <c r="B11" s="98"/>
      <c r="C11" s="576">
        <v>45017</v>
      </c>
      <c r="D11" s="518">
        <v>190</v>
      </c>
      <c r="E11" s="98"/>
      <c r="F11" s="98"/>
      <c r="G11" s="98"/>
      <c r="H11" s="98"/>
      <c r="I11" s="98"/>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x14ac:dyDescent="0.2">
      <c r="A12" s="102"/>
      <c r="B12" s="98"/>
      <c r="C12" s="576">
        <v>45047</v>
      </c>
      <c r="D12" s="518">
        <v>191</v>
      </c>
      <c r="E12" s="98"/>
      <c r="F12" s="98"/>
      <c r="G12" s="98"/>
      <c r="H12" s="98"/>
      <c r="I12" s="98"/>
      <c r="J12" s="99"/>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x14ac:dyDescent="0.2">
      <c r="A13" s="102"/>
      <c r="B13" s="98"/>
      <c r="C13" s="576">
        <v>45078</v>
      </c>
      <c r="D13" s="518">
        <v>185</v>
      </c>
      <c r="E13" s="98"/>
      <c r="F13" s="98"/>
      <c r="G13" s="98"/>
      <c r="H13" s="98"/>
      <c r="I13" s="98"/>
      <c r="J13" s="99"/>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x14ac:dyDescent="0.2">
      <c r="A14" s="102"/>
      <c r="B14" s="98"/>
      <c r="C14" s="576">
        <v>45108</v>
      </c>
      <c r="D14" s="518">
        <v>191</v>
      </c>
      <c r="E14" s="98"/>
      <c r="F14" s="98"/>
      <c r="G14" s="98"/>
      <c r="H14" s="98"/>
      <c r="I14" s="98"/>
      <c r="J14" s="9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x14ac:dyDescent="0.2">
      <c r="A15" s="102"/>
      <c r="B15" s="98"/>
      <c r="C15" s="576">
        <v>45139</v>
      </c>
      <c r="D15" s="518">
        <v>195</v>
      </c>
      <c r="E15" s="98"/>
      <c r="F15" s="98"/>
      <c r="G15" s="98"/>
      <c r="H15" s="98"/>
      <c r="I15" s="98"/>
      <c r="J15" s="99"/>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x14ac:dyDescent="0.2">
      <c r="A16" s="102"/>
      <c r="B16" s="98"/>
      <c r="C16" s="576">
        <v>45170</v>
      </c>
      <c r="D16" s="518">
        <v>193</v>
      </c>
      <c r="E16" s="98"/>
      <c r="F16" s="98"/>
      <c r="G16" s="98"/>
      <c r="H16" s="98"/>
      <c r="I16" s="98"/>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x14ac:dyDescent="0.2">
      <c r="A17" s="102"/>
      <c r="B17" s="98"/>
      <c r="C17" s="576">
        <v>45200</v>
      </c>
      <c r="D17" s="518">
        <v>191</v>
      </c>
      <c r="E17" s="98"/>
      <c r="F17" s="98"/>
      <c r="G17" s="98"/>
      <c r="H17" s="98"/>
      <c r="I17" s="98"/>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x14ac:dyDescent="0.2">
      <c r="A18" s="102"/>
      <c r="B18" s="98"/>
      <c r="C18" s="576">
        <v>45231</v>
      </c>
      <c r="D18" s="518">
        <v>190</v>
      </c>
      <c r="E18" s="98"/>
      <c r="F18" s="98"/>
      <c r="G18" s="98"/>
      <c r="H18" s="98"/>
      <c r="I18" s="98"/>
      <c r="J18" s="99"/>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x14ac:dyDescent="0.2">
      <c r="A19" s="102"/>
      <c r="B19" s="98"/>
      <c r="C19" s="576">
        <v>45261</v>
      </c>
      <c r="D19" s="518">
        <v>195</v>
      </c>
      <c r="E19" s="98"/>
      <c r="F19" s="98"/>
      <c r="G19" s="98"/>
      <c r="H19" s="98"/>
      <c r="I19" s="98"/>
      <c r="J19" s="99"/>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x14ac:dyDescent="0.2">
      <c r="A20" s="102"/>
      <c r="B20" s="98"/>
      <c r="C20" s="576">
        <v>45292</v>
      </c>
      <c r="D20" s="518">
        <v>204</v>
      </c>
      <c r="E20" s="98"/>
      <c r="F20" s="98"/>
      <c r="G20" s="98"/>
      <c r="H20" s="98"/>
      <c r="I20" s="98"/>
      <c r="J20" s="99"/>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x14ac:dyDescent="0.2">
      <c r="A21" s="102"/>
      <c r="B21" s="98"/>
      <c r="C21" s="576">
        <v>45323</v>
      </c>
      <c r="D21" s="518">
        <v>203</v>
      </c>
      <c r="E21" s="98"/>
      <c r="F21" s="98"/>
      <c r="G21" s="98"/>
      <c r="H21" s="98"/>
      <c r="I21" s="98"/>
      <c r="J21" s="99"/>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x14ac:dyDescent="0.2">
      <c r="A22" s="102"/>
      <c r="B22" s="98"/>
      <c r="C22" s="577">
        <v>45352</v>
      </c>
      <c r="D22" s="505">
        <v>200</v>
      </c>
      <c r="E22" s="98"/>
      <c r="F22" s="98"/>
      <c r="G22" s="98"/>
      <c r="H22" s="98"/>
      <c r="I22" s="98"/>
      <c r="J22" s="99"/>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x14ac:dyDescent="0.2">
      <c r="A23" s="102"/>
      <c r="B23" s="98"/>
      <c r="C23" s="204"/>
      <c r="D23" s="104"/>
      <c r="E23" s="98"/>
      <c r="F23" s="98"/>
      <c r="G23" s="98"/>
      <c r="H23" s="98"/>
      <c r="I23" s="98"/>
      <c r="J23" s="99"/>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x14ac:dyDescent="0.2">
      <c r="A24" s="102"/>
      <c r="B24" s="604" t="s">
        <v>553</v>
      </c>
      <c r="C24" s="104"/>
      <c r="D24" s="106"/>
      <c r="E24" s="98"/>
      <c r="F24" s="104"/>
      <c r="G24" s="104"/>
      <c r="H24" s="98"/>
      <c r="I24" s="98"/>
      <c r="J24" s="99"/>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x14ac:dyDescent="0.2">
      <c r="A25" s="102"/>
      <c r="B25" s="202" t="s">
        <v>257</v>
      </c>
      <c r="C25" s="104"/>
      <c r="D25" s="106"/>
      <c r="E25" s="98"/>
      <c r="F25" s="104"/>
      <c r="G25" s="104"/>
      <c r="H25" s="98"/>
      <c r="I25" s="98"/>
      <c r="J25" s="99"/>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x14ac:dyDescent="0.2">
      <c r="A26" s="102"/>
      <c r="B26" s="202" t="s">
        <v>267</v>
      </c>
      <c r="C26" s="104"/>
      <c r="D26" s="106"/>
      <c r="E26" s="104"/>
      <c r="F26" s="98"/>
      <c r="G26" s="205"/>
      <c r="H26" s="98"/>
      <c r="I26" s="98"/>
      <c r="J26" s="99"/>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x14ac:dyDescent="0.2">
      <c r="A27" s="102"/>
      <c r="B27" s="98"/>
      <c r="C27" s="104"/>
      <c r="D27" s="104"/>
      <c r="E27" s="104"/>
      <c r="F27" s="98"/>
      <c r="G27" s="98"/>
      <c r="H27" s="98"/>
      <c r="I27" s="98"/>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ht="16" customHeight="1" x14ac:dyDescent="0.2">
      <c r="A28" s="102"/>
      <c r="B28" s="72" t="s">
        <v>262</v>
      </c>
      <c r="C28" s="107"/>
      <c r="D28" s="107"/>
      <c r="E28" s="107"/>
      <c r="F28" s="107"/>
      <c r="G28" s="107"/>
      <c r="H28" s="107"/>
      <c r="I28" s="107"/>
      <c r="J28" s="99"/>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ht="17" thickBot="1" x14ac:dyDescent="0.25">
      <c r="A29" s="108"/>
      <c r="B29" s="109"/>
      <c r="C29" s="110"/>
      <c r="D29" s="110"/>
      <c r="E29" s="110"/>
      <c r="F29" s="109"/>
      <c r="G29" s="109"/>
      <c r="H29" s="109"/>
      <c r="I29" s="109"/>
      <c r="J29" s="111"/>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x14ac:dyDescent="0.2">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ht="19" x14ac:dyDescent="0.25">
      <c r="A31" s="4" t="s">
        <v>9</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ht="16" customHeight="1" x14ac:dyDescent="0.2">
      <c r="A32" s="6" t="s">
        <v>8</v>
      </c>
      <c r="B32" s="632" t="s">
        <v>268</v>
      </c>
      <c r="C32" s="632"/>
      <c r="D32" s="632"/>
      <c r="E32" s="632"/>
      <c r="F32" s="632"/>
      <c r="G32" s="632"/>
      <c r="H32" s="632"/>
      <c r="I32" s="632"/>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ht="16" customHeight="1" x14ac:dyDescent="0.2">
      <c r="A33" s="6"/>
      <c r="B33" s="632"/>
      <c r="C33" s="632"/>
      <c r="D33" s="632"/>
      <c r="E33" s="632"/>
      <c r="F33" s="632"/>
      <c r="G33" s="632"/>
      <c r="H33" s="632"/>
      <c r="I33" s="632"/>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ht="16" customHeight="1" x14ac:dyDescent="0.2">
      <c r="A34" s="6"/>
      <c r="B34" s="632"/>
      <c r="C34" s="632"/>
      <c r="D34" s="632"/>
      <c r="E34" s="632"/>
      <c r="F34" s="632"/>
      <c r="G34" s="632"/>
      <c r="H34" s="632"/>
      <c r="I34" s="632"/>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ht="16" customHeight="1" x14ac:dyDescent="0.2">
      <c r="A35" s="6"/>
      <c r="B35" s="7"/>
      <c r="C35" s="7"/>
      <c r="D35" s="7"/>
      <c r="E35" s="7"/>
      <c r="F35" s="7"/>
      <c r="G35" s="7"/>
      <c r="H35" s="7"/>
      <c r="I35" s="7"/>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ht="16" customHeight="1" x14ac:dyDescent="0.2">
      <c r="A36" s="6"/>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ht="16" customHeight="1" x14ac:dyDescent="0.2">
      <c r="A37" s="6"/>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ht="16" customHeight="1" x14ac:dyDescent="0.2">
      <c r="A38" s="6"/>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ht="16" customHeight="1" x14ac:dyDescent="0.2">
      <c r="A39" s="6"/>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ht="16" customHeight="1" x14ac:dyDescent="0.2">
      <c r="A40" s="6"/>
      <c r="B40" s="100"/>
      <c r="C40" s="208" t="s">
        <v>164</v>
      </c>
      <c r="D40" s="207" t="s">
        <v>256</v>
      </c>
      <c r="E40" s="114"/>
      <c r="F40" s="649" t="s">
        <v>258</v>
      </c>
      <c r="G40" s="649"/>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ht="16" customHeight="1" x14ac:dyDescent="0.2">
      <c r="A41" s="6"/>
      <c r="B41" s="100"/>
      <c r="C41" s="208" t="s">
        <v>212</v>
      </c>
      <c r="D41" s="207" t="s">
        <v>159</v>
      </c>
      <c r="E41" s="207" t="s">
        <v>204</v>
      </c>
      <c r="F41" s="207"/>
      <c r="G41" s="207" t="s">
        <v>222</v>
      </c>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ht="16" customHeight="1" x14ac:dyDescent="0.2">
      <c r="A42" s="6"/>
      <c r="B42" s="100"/>
      <c r="C42" s="17" t="s">
        <v>254</v>
      </c>
      <c r="D42" s="16" t="s">
        <v>160</v>
      </c>
      <c r="E42" s="15" t="s">
        <v>255</v>
      </c>
      <c r="F42" s="14" t="s">
        <v>207</v>
      </c>
      <c r="G42" s="14" t="s">
        <v>255</v>
      </c>
      <c r="H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3" spans="1:49" ht="16" customHeight="1" x14ac:dyDescent="0.2">
      <c r="A43" s="6"/>
      <c r="B43" s="100"/>
      <c r="C43" s="209">
        <f t="shared" ref="C43:C54" si="0">C8</f>
        <v>44927</v>
      </c>
      <c r="D43" s="211">
        <v>44941</v>
      </c>
      <c r="E43" s="183">
        <f t="shared" ref="E43:E54" si="1">D8</f>
        <v>192</v>
      </c>
      <c r="F43" s="212">
        <f>23/24</f>
        <v>0.95833333333333337</v>
      </c>
      <c r="G43" s="9">
        <f>F43*E43</f>
        <v>184</v>
      </c>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row>
    <row r="44" spans="1:49" ht="16" customHeight="1" x14ac:dyDescent="0.2">
      <c r="A44" s="6"/>
      <c r="B44" s="100"/>
      <c r="C44" s="210">
        <f t="shared" si="0"/>
        <v>44958</v>
      </c>
      <c r="D44" s="116">
        <f>EDATE(D43,1)</f>
        <v>44972</v>
      </c>
      <c r="E44" s="183">
        <f t="shared" si="1"/>
        <v>192</v>
      </c>
      <c r="F44" s="212">
        <f>F43-1/12</f>
        <v>0.875</v>
      </c>
      <c r="G44" s="9">
        <f t="shared" ref="G44:G54" si="2">F44*E44</f>
        <v>168</v>
      </c>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49" ht="16" customHeight="1" x14ac:dyDescent="0.2">
      <c r="A45" s="6"/>
      <c r="B45" s="100"/>
      <c r="C45" s="210">
        <f t="shared" si="0"/>
        <v>44986</v>
      </c>
      <c r="D45" s="116">
        <f t="shared" ref="D45:D54" si="3">EDATE(D44,1)</f>
        <v>45000</v>
      </c>
      <c r="E45" s="183">
        <f t="shared" si="1"/>
        <v>184</v>
      </c>
      <c r="F45" s="212">
        <f t="shared" ref="F45:F54" si="4">F44-1/12</f>
        <v>0.79166666666666663</v>
      </c>
      <c r="G45" s="9">
        <f t="shared" si="2"/>
        <v>145.66666666666666</v>
      </c>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ht="16" customHeight="1" x14ac:dyDescent="0.2">
      <c r="A46" s="6"/>
      <c r="B46" s="100"/>
      <c r="C46" s="210">
        <f t="shared" si="0"/>
        <v>45017</v>
      </c>
      <c r="D46" s="116">
        <f t="shared" si="3"/>
        <v>45031</v>
      </c>
      <c r="E46" s="183">
        <f t="shared" si="1"/>
        <v>190</v>
      </c>
      <c r="F46" s="212">
        <f t="shared" si="4"/>
        <v>0.70833333333333326</v>
      </c>
      <c r="G46" s="9">
        <f t="shared" si="2"/>
        <v>134.58333333333331</v>
      </c>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ht="16" customHeight="1" x14ac:dyDescent="0.2">
      <c r="A47" s="6"/>
      <c r="B47" s="100"/>
      <c r="C47" s="210">
        <f t="shared" si="0"/>
        <v>45047</v>
      </c>
      <c r="D47" s="116">
        <f t="shared" si="3"/>
        <v>45061</v>
      </c>
      <c r="E47" s="183">
        <f t="shared" si="1"/>
        <v>191</v>
      </c>
      <c r="F47" s="212">
        <f t="shared" si="4"/>
        <v>0.62499999999999989</v>
      </c>
      <c r="G47" s="9">
        <f t="shared" si="2"/>
        <v>119.37499999999999</v>
      </c>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ht="16" customHeight="1" x14ac:dyDescent="0.2">
      <c r="A48" s="6"/>
      <c r="B48" s="100"/>
      <c r="C48" s="210">
        <f t="shared" si="0"/>
        <v>45078</v>
      </c>
      <c r="D48" s="116">
        <f t="shared" si="3"/>
        <v>45092</v>
      </c>
      <c r="E48" s="183">
        <f t="shared" si="1"/>
        <v>185</v>
      </c>
      <c r="F48" s="212">
        <f t="shared" si="4"/>
        <v>0.54166666666666652</v>
      </c>
      <c r="G48" s="9">
        <f t="shared" si="2"/>
        <v>100.2083333333333</v>
      </c>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ht="16" customHeight="1" x14ac:dyDescent="0.2">
      <c r="A49" s="6"/>
      <c r="B49" s="100"/>
      <c r="C49" s="210">
        <f t="shared" si="0"/>
        <v>45108</v>
      </c>
      <c r="D49" s="116">
        <f t="shared" si="3"/>
        <v>45122</v>
      </c>
      <c r="E49" s="183">
        <f t="shared" si="1"/>
        <v>191</v>
      </c>
      <c r="F49" s="212">
        <f t="shared" si="4"/>
        <v>0.4583333333333332</v>
      </c>
      <c r="G49" s="9">
        <f t="shared" si="2"/>
        <v>87.541666666666643</v>
      </c>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ht="16" customHeight="1" x14ac:dyDescent="0.2">
      <c r="A50" s="6"/>
      <c r="B50" s="100"/>
      <c r="C50" s="210">
        <f t="shared" si="0"/>
        <v>45139</v>
      </c>
      <c r="D50" s="116">
        <f t="shared" si="3"/>
        <v>45153</v>
      </c>
      <c r="E50" s="183">
        <f t="shared" si="1"/>
        <v>195</v>
      </c>
      <c r="F50" s="212">
        <f t="shared" si="4"/>
        <v>0.37499999999999989</v>
      </c>
      <c r="G50" s="9">
        <f t="shared" si="2"/>
        <v>73.124999999999972</v>
      </c>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ht="16" customHeight="1" x14ac:dyDescent="0.2">
      <c r="A51" s="6"/>
      <c r="B51" s="100"/>
      <c r="C51" s="210">
        <f t="shared" si="0"/>
        <v>45170</v>
      </c>
      <c r="D51" s="116">
        <f t="shared" si="3"/>
        <v>45184</v>
      </c>
      <c r="E51" s="183">
        <f t="shared" si="1"/>
        <v>193</v>
      </c>
      <c r="F51" s="212">
        <f t="shared" si="4"/>
        <v>0.29166666666666657</v>
      </c>
      <c r="G51" s="9">
        <f t="shared" si="2"/>
        <v>56.29166666666665</v>
      </c>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ht="16" customHeight="1" x14ac:dyDescent="0.2">
      <c r="A52" s="6"/>
      <c r="B52" s="100"/>
      <c r="C52" s="210">
        <f t="shared" si="0"/>
        <v>45200</v>
      </c>
      <c r="D52" s="116">
        <f t="shared" si="3"/>
        <v>45214</v>
      </c>
      <c r="E52" s="183">
        <f t="shared" si="1"/>
        <v>191</v>
      </c>
      <c r="F52" s="212">
        <f t="shared" si="4"/>
        <v>0.20833333333333326</v>
      </c>
      <c r="G52" s="9">
        <f t="shared" si="2"/>
        <v>39.79166666666665</v>
      </c>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ht="16" customHeight="1" x14ac:dyDescent="0.2">
      <c r="A53" s="6"/>
      <c r="B53" s="100"/>
      <c r="C53" s="210">
        <f t="shared" si="0"/>
        <v>45231</v>
      </c>
      <c r="D53" s="116">
        <f t="shared" si="3"/>
        <v>45245</v>
      </c>
      <c r="E53" s="183">
        <f t="shared" si="1"/>
        <v>190</v>
      </c>
      <c r="F53" s="212">
        <f t="shared" si="4"/>
        <v>0.12499999999999993</v>
      </c>
      <c r="G53" s="9">
        <f t="shared" si="2"/>
        <v>23.749999999999986</v>
      </c>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ht="16" customHeight="1" x14ac:dyDescent="0.2">
      <c r="A54" s="6"/>
      <c r="B54" s="100"/>
      <c r="C54" s="210">
        <f t="shared" si="0"/>
        <v>45261</v>
      </c>
      <c r="D54" s="116">
        <f t="shared" si="3"/>
        <v>45275</v>
      </c>
      <c r="E54" s="183">
        <f t="shared" si="1"/>
        <v>195</v>
      </c>
      <c r="F54" s="212">
        <f t="shared" si="4"/>
        <v>4.1666666666666602E-2</v>
      </c>
      <c r="G54" s="9">
        <f t="shared" si="2"/>
        <v>8.1249999999999876</v>
      </c>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ht="16" customHeight="1" thickBot="1" x14ac:dyDescent="0.25">
      <c r="A55" s="6"/>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ht="16" customHeight="1" thickBot="1" x14ac:dyDescent="0.25">
      <c r="A56" s="6"/>
      <c r="B56" s="100"/>
      <c r="C56" s="100"/>
      <c r="D56" s="213" t="s">
        <v>259</v>
      </c>
      <c r="E56" s="214"/>
      <c r="F56" s="215"/>
      <c r="G56" s="216">
        <f>SUM(G43:G54)</f>
        <v>1140.4583333333333</v>
      </c>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ht="16" customHeight="1" x14ac:dyDescent="0.2">
      <c r="A57" s="6"/>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ht="16" customHeight="1" x14ac:dyDescent="0.2">
      <c r="A58" s="6"/>
      <c r="B58" s="7" t="s">
        <v>242</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ht="16" customHeight="1" x14ac:dyDescent="0.2">
      <c r="A59" s="6"/>
      <c r="B59" s="647" t="s">
        <v>554</v>
      </c>
      <c r="C59" s="648"/>
      <c r="D59" s="648"/>
      <c r="E59" s="648"/>
      <c r="F59" s="648"/>
      <c r="G59" s="648"/>
      <c r="H59" s="648"/>
      <c r="I59" s="648"/>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49" ht="16" customHeight="1" x14ac:dyDescent="0.2">
      <c r="A60" s="6"/>
      <c r="B60" s="648"/>
      <c r="C60" s="648"/>
      <c r="D60" s="648"/>
      <c r="E60" s="648"/>
      <c r="F60" s="648"/>
      <c r="G60" s="648"/>
      <c r="H60" s="648"/>
      <c r="I60" s="648"/>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ht="16" customHeight="1" x14ac:dyDescent="0.2">
      <c r="A61" s="6"/>
      <c r="B61" s="100"/>
      <c r="C61" s="100"/>
      <c r="D61" s="100"/>
      <c r="E61" s="100"/>
      <c r="F61" s="100"/>
      <c r="G61" s="100"/>
      <c r="H61" s="100"/>
      <c r="I61" s="100"/>
      <c r="J61" s="100"/>
      <c r="K61" s="100"/>
      <c r="L61" s="2"/>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ht="16" customHeight="1" x14ac:dyDescent="0.2">
      <c r="A62" s="6" t="s">
        <v>7</v>
      </c>
      <c r="B62" s="632" t="s">
        <v>261</v>
      </c>
      <c r="C62" s="632"/>
      <c r="D62" s="632"/>
      <c r="E62" s="632"/>
      <c r="F62" s="632"/>
      <c r="G62" s="632"/>
      <c r="H62" s="632"/>
      <c r="I62" s="632"/>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ht="16" customHeight="1" x14ac:dyDescent="0.2">
      <c r="A63" s="6"/>
      <c r="B63" s="632"/>
      <c r="C63" s="632"/>
      <c r="D63" s="632"/>
      <c r="E63" s="632"/>
      <c r="F63" s="632"/>
      <c r="G63" s="632"/>
      <c r="H63" s="632"/>
      <c r="I63" s="632"/>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ht="16" customHeight="1" x14ac:dyDescent="0.2">
      <c r="A64" s="6"/>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ht="16" customHeight="1" x14ac:dyDescent="0.2">
      <c r="A65" s="6"/>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ht="16" customHeight="1" x14ac:dyDescent="0.2">
      <c r="A66" s="6"/>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ht="16" customHeight="1" x14ac:dyDescent="0.2">
      <c r="A67" s="6"/>
      <c r="B67" s="100"/>
      <c r="C67" s="208" t="s">
        <v>69</v>
      </c>
      <c r="D67" s="207" t="s">
        <v>256</v>
      </c>
      <c r="E67" s="114"/>
      <c r="F67" s="649" t="s">
        <v>263</v>
      </c>
      <c r="G67" s="649"/>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ht="16" customHeight="1" x14ac:dyDescent="0.2">
      <c r="A68" s="6"/>
      <c r="B68" s="100"/>
      <c r="C68" s="208" t="s">
        <v>212</v>
      </c>
      <c r="D68" s="207" t="s">
        <v>159</v>
      </c>
      <c r="E68" s="207" t="s">
        <v>204</v>
      </c>
      <c r="F68" s="207"/>
      <c r="G68" s="207" t="s">
        <v>222</v>
      </c>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ht="16" customHeight="1" x14ac:dyDescent="0.2">
      <c r="A69" s="6"/>
      <c r="B69" s="100"/>
      <c r="C69" s="17" t="s">
        <v>254</v>
      </c>
      <c r="D69" s="16" t="s">
        <v>160</v>
      </c>
      <c r="E69" s="15" t="s">
        <v>255</v>
      </c>
      <c r="F69" s="14" t="s">
        <v>207</v>
      </c>
      <c r="G69" s="14" t="s">
        <v>255</v>
      </c>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ht="16" customHeight="1" x14ac:dyDescent="0.2">
      <c r="A70" s="6"/>
      <c r="B70" s="100"/>
      <c r="C70" s="209">
        <f t="shared" ref="C70:C81" si="5">C8</f>
        <v>44927</v>
      </c>
      <c r="D70" s="211">
        <f>D43</f>
        <v>44941</v>
      </c>
      <c r="E70" s="183">
        <f t="shared" ref="E70:E81" si="6">D8</f>
        <v>192</v>
      </c>
      <c r="F70" s="212">
        <v>1</v>
      </c>
      <c r="G70" s="9">
        <f>F70*E70</f>
        <v>192</v>
      </c>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ht="16" customHeight="1" x14ac:dyDescent="0.2">
      <c r="A71" s="6"/>
      <c r="B71" s="100"/>
      <c r="C71" s="210">
        <f t="shared" si="5"/>
        <v>44958</v>
      </c>
      <c r="D71" s="116">
        <f t="shared" ref="D71:D81" si="7">D44</f>
        <v>44972</v>
      </c>
      <c r="E71" s="183">
        <f t="shared" si="6"/>
        <v>192</v>
      </c>
      <c r="F71" s="212">
        <v>1</v>
      </c>
      <c r="G71" s="9">
        <f t="shared" ref="G71:G81" si="8">F71*E71</f>
        <v>192</v>
      </c>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ht="16" customHeight="1" x14ac:dyDescent="0.2">
      <c r="A72" s="6"/>
      <c r="B72" s="100"/>
      <c r="C72" s="210">
        <f t="shared" si="5"/>
        <v>44986</v>
      </c>
      <c r="D72" s="116">
        <f t="shared" si="7"/>
        <v>45000</v>
      </c>
      <c r="E72" s="183">
        <f t="shared" si="6"/>
        <v>184</v>
      </c>
      <c r="F72" s="212">
        <v>1</v>
      </c>
      <c r="G72" s="9">
        <f t="shared" si="8"/>
        <v>184</v>
      </c>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ht="16" customHeight="1" x14ac:dyDescent="0.2">
      <c r="A73" s="6"/>
      <c r="B73" s="100"/>
      <c r="C73" s="210">
        <f t="shared" si="5"/>
        <v>45017</v>
      </c>
      <c r="D73" s="116">
        <f t="shared" si="7"/>
        <v>45031</v>
      </c>
      <c r="E73" s="183">
        <f t="shared" si="6"/>
        <v>190</v>
      </c>
      <c r="F73" s="212">
        <f>23/24</f>
        <v>0.95833333333333337</v>
      </c>
      <c r="G73" s="9">
        <f t="shared" si="8"/>
        <v>182.08333333333334</v>
      </c>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ht="16" customHeight="1" x14ac:dyDescent="0.2">
      <c r="A74" s="6"/>
      <c r="B74" s="100"/>
      <c r="C74" s="210">
        <f t="shared" si="5"/>
        <v>45047</v>
      </c>
      <c r="D74" s="116">
        <f t="shared" si="7"/>
        <v>45061</v>
      </c>
      <c r="E74" s="183">
        <f t="shared" si="6"/>
        <v>191</v>
      </c>
      <c r="F74" s="212">
        <f t="shared" ref="F74:F81" si="9">F73-1/12</f>
        <v>0.875</v>
      </c>
      <c r="G74" s="9">
        <f t="shared" si="8"/>
        <v>167.125</v>
      </c>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ht="16" customHeight="1" x14ac:dyDescent="0.2">
      <c r="A75" s="6"/>
      <c r="B75" s="100"/>
      <c r="C75" s="210">
        <f t="shared" si="5"/>
        <v>45078</v>
      </c>
      <c r="D75" s="116">
        <f t="shared" si="7"/>
        <v>45092</v>
      </c>
      <c r="E75" s="183">
        <f t="shared" si="6"/>
        <v>185</v>
      </c>
      <c r="F75" s="212">
        <f t="shared" si="9"/>
        <v>0.79166666666666663</v>
      </c>
      <c r="G75" s="9">
        <f t="shared" si="8"/>
        <v>146.45833333333331</v>
      </c>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ht="16" customHeight="1" x14ac:dyDescent="0.2">
      <c r="A76" s="6"/>
      <c r="B76" s="100"/>
      <c r="C76" s="210">
        <f t="shared" si="5"/>
        <v>45108</v>
      </c>
      <c r="D76" s="116">
        <f t="shared" si="7"/>
        <v>45122</v>
      </c>
      <c r="E76" s="183">
        <f t="shared" si="6"/>
        <v>191</v>
      </c>
      <c r="F76" s="212">
        <f t="shared" si="9"/>
        <v>0.70833333333333326</v>
      </c>
      <c r="G76" s="9">
        <f t="shared" si="8"/>
        <v>135.29166666666666</v>
      </c>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ht="16" customHeight="1" x14ac:dyDescent="0.2">
      <c r="A77" s="6"/>
      <c r="B77" s="100"/>
      <c r="C77" s="210">
        <f t="shared" si="5"/>
        <v>45139</v>
      </c>
      <c r="D77" s="116">
        <f t="shared" si="7"/>
        <v>45153</v>
      </c>
      <c r="E77" s="183">
        <f t="shared" si="6"/>
        <v>195</v>
      </c>
      <c r="F77" s="212">
        <f t="shared" si="9"/>
        <v>0.62499999999999989</v>
      </c>
      <c r="G77" s="9">
        <f t="shared" si="8"/>
        <v>121.87499999999997</v>
      </c>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ht="16" customHeight="1" x14ac:dyDescent="0.2">
      <c r="A78" s="6"/>
      <c r="B78" s="100"/>
      <c r="C78" s="210">
        <f t="shared" si="5"/>
        <v>45170</v>
      </c>
      <c r="D78" s="116">
        <f t="shared" si="7"/>
        <v>45184</v>
      </c>
      <c r="E78" s="183">
        <f t="shared" si="6"/>
        <v>193</v>
      </c>
      <c r="F78" s="212">
        <f t="shared" si="9"/>
        <v>0.54166666666666652</v>
      </c>
      <c r="G78" s="9">
        <f t="shared" si="8"/>
        <v>104.54166666666664</v>
      </c>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ht="16" customHeight="1" x14ac:dyDescent="0.2">
      <c r="A79" s="6"/>
      <c r="B79" s="100"/>
      <c r="C79" s="210">
        <f t="shared" si="5"/>
        <v>45200</v>
      </c>
      <c r="D79" s="116">
        <f t="shared" si="7"/>
        <v>45214</v>
      </c>
      <c r="E79" s="183">
        <f t="shared" si="6"/>
        <v>191</v>
      </c>
      <c r="F79" s="212">
        <f t="shared" si="9"/>
        <v>0.4583333333333332</v>
      </c>
      <c r="G79" s="9">
        <f t="shared" si="8"/>
        <v>87.541666666666643</v>
      </c>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ht="16" customHeight="1" x14ac:dyDescent="0.2">
      <c r="A80" s="6"/>
      <c r="B80" s="100"/>
      <c r="C80" s="210">
        <f t="shared" si="5"/>
        <v>45231</v>
      </c>
      <c r="D80" s="116">
        <f t="shared" si="7"/>
        <v>45245</v>
      </c>
      <c r="E80" s="183">
        <f t="shared" si="6"/>
        <v>190</v>
      </c>
      <c r="F80" s="212">
        <f t="shared" si="9"/>
        <v>0.37499999999999989</v>
      </c>
      <c r="G80" s="9">
        <f t="shared" si="8"/>
        <v>71.249999999999986</v>
      </c>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65" ht="16" customHeight="1" x14ac:dyDescent="0.2">
      <c r="A81" s="6"/>
      <c r="B81" s="100"/>
      <c r="C81" s="210">
        <f t="shared" si="5"/>
        <v>45261</v>
      </c>
      <c r="D81" s="116">
        <f t="shared" si="7"/>
        <v>45275</v>
      </c>
      <c r="E81" s="183">
        <f t="shared" si="6"/>
        <v>195</v>
      </c>
      <c r="F81" s="212">
        <f t="shared" si="9"/>
        <v>0.29166666666666657</v>
      </c>
      <c r="G81" s="9">
        <f t="shared" si="8"/>
        <v>56.874999999999979</v>
      </c>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65" ht="16" customHeight="1" thickBot="1" x14ac:dyDescent="0.25">
      <c r="A82" s="6"/>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65" ht="16" customHeight="1" thickBot="1" x14ac:dyDescent="0.25">
      <c r="A83" s="6"/>
      <c r="B83" s="100"/>
      <c r="C83" s="100"/>
      <c r="D83" s="213" t="s">
        <v>264</v>
      </c>
      <c r="E83" s="214"/>
      <c r="F83" s="215"/>
      <c r="G83" s="216">
        <f>SUM(G70:G81)</f>
        <v>1641.041666666667</v>
      </c>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65" ht="16" customHeight="1" x14ac:dyDescent="0.2">
      <c r="A84" s="6"/>
      <c r="B84" s="100"/>
      <c r="C84" s="100"/>
      <c r="D84" s="100"/>
      <c r="E84" s="100"/>
      <c r="F84" s="100"/>
      <c r="G84" s="100"/>
      <c r="H84" s="100"/>
      <c r="I84" s="100"/>
      <c r="J84" s="100"/>
      <c r="K84" s="100"/>
      <c r="L84" s="2"/>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65" ht="16" customHeight="1" x14ac:dyDescent="0.2">
      <c r="A85" s="6"/>
      <c r="B85" s="7" t="s">
        <v>242</v>
      </c>
      <c r="C85" s="100"/>
      <c r="D85" s="100"/>
      <c r="E85" s="100"/>
      <c r="F85" s="100"/>
      <c r="G85" s="100"/>
      <c r="H85" s="100"/>
      <c r="I85" s="100"/>
      <c r="J85" s="100"/>
      <c r="K85" s="100"/>
      <c r="L85" s="2"/>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65" ht="16" customHeight="1" x14ac:dyDescent="0.2">
      <c r="A86" s="6"/>
      <c r="B86" s="206" t="s">
        <v>265</v>
      </c>
      <c r="C86" s="100"/>
      <c r="D86" s="100"/>
      <c r="E86" s="100"/>
      <c r="F86" s="100"/>
      <c r="G86" s="100"/>
      <c r="H86" s="100"/>
      <c r="I86" s="100"/>
      <c r="J86" s="100"/>
      <c r="K86" s="100"/>
      <c r="L86" s="2"/>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65" ht="16" customHeight="1" x14ac:dyDescent="0.2">
      <c r="A87" s="6"/>
      <c r="B87" s="206" t="s">
        <v>266</v>
      </c>
      <c r="C87" s="100"/>
      <c r="D87" s="100"/>
      <c r="E87" s="100"/>
      <c r="F87" s="100"/>
      <c r="G87" s="100"/>
      <c r="H87" s="100"/>
      <c r="I87" s="100"/>
      <c r="J87" s="100"/>
      <c r="K87" s="100"/>
      <c r="L87" s="2"/>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65" x14ac:dyDescent="0.2">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65" ht="19" x14ac:dyDescent="0.25">
      <c r="A89" s="4" t="s">
        <v>3</v>
      </c>
      <c r="B89" s="100"/>
      <c r="C89" s="100"/>
      <c r="D89" s="100"/>
      <c r="E89" s="100"/>
      <c r="F89" s="100"/>
      <c r="G89" s="100"/>
      <c r="H89" s="100"/>
      <c r="I89" s="100"/>
      <c r="J89" s="100"/>
      <c r="K89" s="100"/>
      <c r="L89" s="2"/>
      <c r="M89" s="2"/>
      <c r="N89" s="2"/>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65" ht="16" customHeight="1" x14ac:dyDescent="0.2">
      <c r="A90" s="2"/>
      <c r="B90" s="645" t="s">
        <v>270</v>
      </c>
      <c r="C90" s="645"/>
      <c r="D90" s="645"/>
      <c r="E90" s="645"/>
      <c r="F90" s="645"/>
      <c r="G90" s="645"/>
      <c r="H90" s="645"/>
      <c r="I90" s="645"/>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x14ac:dyDescent="0.2">
      <c r="A91" s="2"/>
      <c r="B91" s="645"/>
      <c r="C91" s="645"/>
      <c r="D91" s="645"/>
      <c r="E91" s="645"/>
      <c r="F91" s="645"/>
      <c r="G91" s="645"/>
      <c r="H91" s="645"/>
      <c r="I91" s="645"/>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x14ac:dyDescent="0.2">
      <c r="A92" s="2"/>
      <c r="B92" s="645"/>
      <c r="C92" s="645"/>
      <c r="D92" s="645"/>
      <c r="E92" s="645"/>
      <c r="F92" s="645"/>
      <c r="G92" s="645"/>
      <c r="H92" s="645"/>
      <c r="I92" s="645"/>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x14ac:dyDescent="0.2">
      <c r="A93" s="2"/>
      <c r="B93" s="645"/>
      <c r="C93" s="645"/>
      <c r="D93" s="645"/>
      <c r="E93" s="645"/>
      <c r="F93" s="645"/>
      <c r="G93" s="645"/>
      <c r="H93" s="645"/>
      <c r="I93" s="645"/>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x14ac:dyDescent="0.2">
      <c r="A94" s="2"/>
      <c r="B94" s="645"/>
      <c r="C94" s="645"/>
      <c r="D94" s="645"/>
      <c r="E94" s="645"/>
      <c r="F94" s="645"/>
      <c r="G94" s="645"/>
      <c r="H94" s="645"/>
      <c r="I94" s="645"/>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x14ac:dyDescent="0.2">
      <c r="A95" s="2"/>
      <c r="B95" s="645"/>
      <c r="C95" s="645"/>
      <c r="D95" s="645"/>
      <c r="E95" s="645"/>
      <c r="F95" s="645"/>
      <c r="G95" s="645"/>
      <c r="H95" s="645"/>
      <c r="I95" s="645"/>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x14ac:dyDescent="0.2">
      <c r="A96" s="2"/>
      <c r="B96" s="645"/>
      <c r="C96" s="645"/>
      <c r="D96" s="645"/>
      <c r="E96" s="645"/>
      <c r="F96" s="645"/>
      <c r="G96" s="645"/>
      <c r="H96" s="645"/>
      <c r="I96" s="645"/>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x14ac:dyDescent="0.2">
      <c r="A97" s="2"/>
      <c r="B97" s="645"/>
      <c r="C97" s="645"/>
      <c r="D97" s="645"/>
      <c r="E97" s="645"/>
      <c r="F97" s="645"/>
      <c r="G97" s="645"/>
      <c r="H97" s="645"/>
      <c r="I97" s="645"/>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x14ac:dyDescent="0.2">
      <c r="A98" s="2"/>
      <c r="B98" s="645"/>
      <c r="C98" s="645"/>
      <c r="D98" s="645"/>
      <c r="E98" s="645"/>
      <c r="F98" s="645"/>
      <c r="G98" s="645"/>
      <c r="H98" s="645"/>
      <c r="I98" s="645"/>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x14ac:dyDescent="0.2">
      <c r="A99" s="2"/>
      <c r="B99" s="100"/>
      <c r="C99" s="100"/>
      <c r="D99" s="100"/>
      <c r="E99" s="100"/>
      <c r="F99" s="100"/>
      <c r="G99" s="100"/>
      <c r="H99" s="100"/>
      <c r="I99" s="100"/>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9" x14ac:dyDescent="0.25">
      <c r="A100" s="4" t="s">
        <v>2</v>
      </c>
      <c r="B100" s="100"/>
      <c r="C100" s="100"/>
      <c r="D100" s="100"/>
      <c r="E100" s="100"/>
      <c r="F100" s="100"/>
      <c r="G100" s="100"/>
      <c r="H100" s="100"/>
      <c r="I100" s="100"/>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x14ac:dyDescent="0.2">
      <c r="A101" s="2"/>
      <c r="B101" s="645" t="s">
        <v>260</v>
      </c>
      <c r="C101" s="646"/>
      <c r="D101" s="646"/>
      <c r="E101" s="646"/>
      <c r="F101" s="646"/>
      <c r="G101" s="646"/>
      <c r="H101" s="646"/>
      <c r="I101" s="646"/>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x14ac:dyDescent="0.2">
      <c r="A102" s="2"/>
      <c r="B102" s="646"/>
      <c r="C102" s="646"/>
      <c r="D102" s="646"/>
      <c r="E102" s="646"/>
      <c r="F102" s="646"/>
      <c r="G102" s="646"/>
      <c r="H102" s="646"/>
      <c r="I102" s="646"/>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x14ac:dyDescent="0.2">
      <c r="A103" s="2"/>
      <c r="B103" s="100"/>
      <c r="C103" s="100"/>
      <c r="D103" s="100"/>
      <c r="E103" s="100"/>
      <c r="F103" s="100"/>
      <c r="G103" s="100"/>
      <c r="H103" s="100"/>
      <c r="I103" s="100"/>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9" x14ac:dyDescent="0.25">
      <c r="A104" s="4" t="s">
        <v>1</v>
      </c>
      <c r="B104" s="100"/>
      <c r="C104" s="100"/>
      <c r="D104" s="100"/>
      <c r="E104" s="100"/>
      <c r="F104" s="100"/>
      <c r="G104" s="100"/>
      <c r="H104" s="100"/>
      <c r="I104" s="100"/>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x14ac:dyDescent="0.2">
      <c r="A105" s="2"/>
      <c r="B105" s="206" t="s">
        <v>269</v>
      </c>
      <c r="C105" s="100"/>
      <c r="D105" s="100"/>
      <c r="E105" s="100"/>
      <c r="F105" s="100"/>
      <c r="G105" s="100"/>
      <c r="H105" s="100"/>
      <c r="I105" s="100"/>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x14ac:dyDescent="0.2">
      <c r="A106" s="2"/>
      <c r="B106" s="100"/>
      <c r="C106" s="100"/>
      <c r="D106" s="100"/>
      <c r="E106" s="100"/>
      <c r="F106" s="100"/>
      <c r="G106" s="100"/>
      <c r="H106" s="100"/>
      <c r="I106" s="100"/>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1:65" ht="19" x14ac:dyDescent="0.25">
      <c r="A107" s="4" t="s">
        <v>0</v>
      </c>
      <c r="B107" s="100"/>
      <c r="C107" s="100"/>
      <c r="D107" s="100"/>
      <c r="E107" s="100"/>
      <c r="F107" s="100"/>
      <c r="G107" s="100"/>
      <c r="H107" s="100"/>
      <c r="I107" s="100"/>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1:65" x14ac:dyDescent="0.2">
      <c r="A108" s="2"/>
      <c r="B108" s="206" t="s">
        <v>581</v>
      </c>
      <c r="C108" s="100"/>
      <c r="D108" s="100"/>
      <c r="E108" s="100"/>
      <c r="F108" s="100"/>
      <c r="G108" s="100"/>
      <c r="H108" s="100"/>
      <c r="I108" s="100"/>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1:65" x14ac:dyDescent="0.2">
      <c r="A109" s="2"/>
      <c r="B109" s="206" t="s">
        <v>582</v>
      </c>
      <c r="C109" s="100"/>
      <c r="D109" s="100"/>
      <c r="E109" s="100"/>
      <c r="F109" s="100"/>
      <c r="G109" s="100"/>
      <c r="H109" s="100"/>
      <c r="I109" s="100"/>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1:65" x14ac:dyDescent="0.2">
      <c r="A110" s="2"/>
      <c r="B110" s="100"/>
      <c r="C110" s="100"/>
      <c r="D110" s="100"/>
      <c r="E110" s="100"/>
      <c r="F110" s="100"/>
      <c r="G110" s="100"/>
      <c r="H110" s="100"/>
      <c r="I110" s="100"/>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65" x14ac:dyDescent="0.2">
      <c r="A111" s="2"/>
      <c r="B111" s="100"/>
      <c r="C111" s="100"/>
      <c r="D111" s="100"/>
      <c r="E111" s="100"/>
      <c r="F111" s="100"/>
      <c r="G111" s="100"/>
      <c r="H111" s="100"/>
      <c r="I111" s="100"/>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1:65" x14ac:dyDescent="0.2">
      <c r="A112" s="2"/>
      <c r="B112" s="100"/>
      <c r="C112" s="100"/>
      <c r="D112" s="100"/>
      <c r="E112" s="100"/>
      <c r="F112" s="100"/>
      <c r="G112" s="100"/>
      <c r="H112" s="100"/>
      <c r="I112" s="100"/>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1:65" x14ac:dyDescent="0.2">
      <c r="A113" s="2"/>
      <c r="B113" s="100"/>
      <c r="C113" s="100"/>
      <c r="D113" s="100"/>
      <c r="E113" s="100"/>
      <c r="F113" s="100"/>
      <c r="G113" s="100"/>
      <c r="H113" s="100"/>
      <c r="I113" s="100"/>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1:65" x14ac:dyDescent="0.2">
      <c r="A114" s="2"/>
      <c r="B114" s="100"/>
      <c r="C114" s="100"/>
      <c r="D114" s="100"/>
      <c r="E114" s="100"/>
      <c r="F114" s="100"/>
      <c r="G114" s="100"/>
      <c r="H114" s="100"/>
      <c r="I114" s="100"/>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sheetData>
  <mergeCells count="7">
    <mergeCell ref="B32:I34"/>
    <mergeCell ref="B90:I98"/>
    <mergeCell ref="B101:I102"/>
    <mergeCell ref="B59:I60"/>
    <mergeCell ref="F40:G40"/>
    <mergeCell ref="B62:I63"/>
    <mergeCell ref="F67:G67"/>
  </mergeCells>
  <pageMargins left="0.7" right="0.7" top="0.75" bottom="0.75" header="0.3" footer="0.3"/>
  <pageSetup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C0BA-7094-6042-8605-1E86E6631C8B}">
  <sheetPr codeName="Sheet4">
    <pageSetUpPr fitToPage="1"/>
  </sheetPr>
  <dimension ref="A1:BM130"/>
  <sheetViews>
    <sheetView showGridLines="0" zoomScale="120" zoomScaleNormal="120" workbookViewId="0"/>
  </sheetViews>
  <sheetFormatPr baseColWidth="10" defaultColWidth="10.83203125" defaultRowHeight="16" x14ac:dyDescent="0.2"/>
  <cols>
    <col min="1" max="1" width="10.83203125" style="1"/>
    <col min="2" max="10" width="10.83203125" style="1" customWidth="1"/>
    <col min="11" max="16384" width="10.83203125" style="1"/>
  </cols>
  <sheetData>
    <row r="1" spans="1:49" ht="19" x14ac:dyDescent="0.25">
      <c r="A1" s="29" t="s">
        <v>248</v>
      </c>
      <c r="B1" s="98"/>
      <c r="C1" s="98"/>
      <c r="D1" s="98"/>
      <c r="E1" s="98"/>
      <c r="F1" s="98"/>
      <c r="G1" s="98"/>
      <c r="H1" s="98"/>
      <c r="I1" s="98"/>
      <c r="J1" s="99"/>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49" x14ac:dyDescent="0.2">
      <c r="A2" s="101"/>
      <c r="B2" s="98"/>
      <c r="C2" s="98"/>
      <c r="D2" s="98"/>
      <c r="E2" s="98"/>
      <c r="F2" s="98"/>
      <c r="G2" s="98"/>
      <c r="H2" s="98"/>
      <c r="I2" s="98"/>
      <c r="J2" s="99"/>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x14ac:dyDescent="0.2">
      <c r="A3" s="102"/>
      <c r="B3" s="28" t="s">
        <v>11</v>
      </c>
      <c r="C3" s="98"/>
      <c r="D3" s="98"/>
      <c r="E3" s="98"/>
      <c r="F3" s="98"/>
      <c r="G3" s="98"/>
      <c r="H3" s="98"/>
      <c r="I3" s="98"/>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row>
    <row r="4" spans="1:49" ht="16" customHeight="1" x14ac:dyDescent="0.2">
      <c r="A4" s="102"/>
      <c r="B4" s="175" t="s">
        <v>217</v>
      </c>
      <c r="C4" s="103"/>
      <c r="D4" s="103"/>
      <c r="E4" s="103"/>
      <c r="F4" s="103"/>
      <c r="G4" s="103"/>
      <c r="H4" s="103"/>
      <c r="I4" s="103"/>
      <c r="J4" s="99"/>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1:49" x14ac:dyDescent="0.2">
      <c r="A5" s="102"/>
      <c r="B5" s="98"/>
      <c r="C5" s="98"/>
      <c r="D5" s="98"/>
      <c r="E5" s="98"/>
      <c r="F5" s="98"/>
      <c r="G5" s="98"/>
      <c r="H5" s="98"/>
      <c r="I5" s="98"/>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ht="17" x14ac:dyDescent="0.2">
      <c r="A6" s="102"/>
      <c r="B6" s="98"/>
      <c r="C6" s="561" t="s">
        <v>164</v>
      </c>
      <c r="D6" s="562" t="s">
        <v>204</v>
      </c>
      <c r="E6" s="177"/>
      <c r="F6" s="177"/>
      <c r="G6" s="177"/>
      <c r="H6" s="98"/>
      <c r="I6" s="98"/>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ht="16" customHeight="1" x14ac:dyDescent="0.2">
      <c r="A7" s="102"/>
      <c r="B7" s="98"/>
      <c r="C7" s="563" t="s">
        <v>212</v>
      </c>
      <c r="D7" s="563" t="s">
        <v>205</v>
      </c>
      <c r="E7" s="176"/>
      <c r="F7" s="652" t="s">
        <v>206</v>
      </c>
      <c r="G7" s="653"/>
      <c r="H7" s="98"/>
      <c r="I7" s="98"/>
      <c r="J7" s="99"/>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ht="16" customHeight="1" x14ac:dyDescent="0.2">
      <c r="A8" s="102"/>
      <c r="B8" s="98"/>
      <c r="C8" s="564" t="s">
        <v>195</v>
      </c>
      <c r="D8" s="565" t="s">
        <v>215</v>
      </c>
      <c r="E8" s="176"/>
      <c r="F8" s="569" t="s">
        <v>195</v>
      </c>
      <c r="G8" s="570" t="s">
        <v>207</v>
      </c>
      <c r="H8" s="98"/>
      <c r="I8" s="98"/>
      <c r="J8" s="99"/>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49" x14ac:dyDescent="0.2">
      <c r="A9" s="102"/>
      <c r="B9" s="98"/>
      <c r="C9" s="566" t="s">
        <v>196</v>
      </c>
      <c r="D9" s="518">
        <v>182</v>
      </c>
      <c r="E9" s="176"/>
      <c r="F9" s="566" t="s">
        <v>208</v>
      </c>
      <c r="G9" s="571">
        <v>0.1</v>
      </c>
      <c r="H9" s="98"/>
      <c r="I9" s="98"/>
      <c r="J9" s="99"/>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x14ac:dyDescent="0.2">
      <c r="A10" s="102"/>
      <c r="B10" s="98"/>
      <c r="C10" s="567" t="s">
        <v>197</v>
      </c>
      <c r="D10" s="518">
        <v>765</v>
      </c>
      <c r="E10" s="176"/>
      <c r="F10" s="567" t="s">
        <v>209</v>
      </c>
      <c r="G10" s="571">
        <v>0.4</v>
      </c>
      <c r="H10" s="98"/>
      <c r="I10" s="98"/>
      <c r="J10" s="99"/>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x14ac:dyDescent="0.2">
      <c r="A11" s="102"/>
      <c r="B11" s="98"/>
      <c r="C11" s="567" t="s">
        <v>198</v>
      </c>
      <c r="D11" s="518">
        <v>707</v>
      </c>
      <c r="E11" s="176"/>
      <c r="F11" s="567" t="s">
        <v>210</v>
      </c>
      <c r="G11" s="571">
        <v>0.4</v>
      </c>
      <c r="H11" s="98"/>
      <c r="I11" s="98"/>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x14ac:dyDescent="0.2">
      <c r="A12" s="102"/>
      <c r="B12" s="98"/>
      <c r="C12" s="567" t="s">
        <v>199</v>
      </c>
      <c r="D12" s="518">
        <v>155</v>
      </c>
      <c r="E12" s="176"/>
      <c r="F12" s="568" t="s">
        <v>211</v>
      </c>
      <c r="G12" s="572">
        <v>0.1</v>
      </c>
      <c r="H12" s="98"/>
      <c r="I12" s="98"/>
      <c r="J12" s="99"/>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x14ac:dyDescent="0.2">
      <c r="A13" s="102"/>
      <c r="B13" s="98"/>
      <c r="C13" s="567" t="s">
        <v>200</v>
      </c>
      <c r="D13" s="518">
        <v>208</v>
      </c>
      <c r="E13" s="176"/>
      <c r="F13" s="176"/>
      <c r="G13" s="98"/>
      <c r="H13" s="98"/>
      <c r="I13" s="98"/>
      <c r="J13" s="99"/>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x14ac:dyDescent="0.2">
      <c r="A14" s="102"/>
      <c r="B14" s="98"/>
      <c r="C14" s="567" t="s">
        <v>201</v>
      </c>
      <c r="D14" s="518">
        <v>842</v>
      </c>
      <c r="E14" s="176"/>
      <c r="F14" s="176"/>
      <c r="G14" s="98"/>
      <c r="H14" s="98"/>
      <c r="I14" s="98"/>
      <c r="J14" s="9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x14ac:dyDescent="0.2">
      <c r="A15" s="102"/>
      <c r="B15" s="98"/>
      <c r="C15" s="567" t="s">
        <v>202</v>
      </c>
      <c r="D15" s="518">
        <v>735</v>
      </c>
      <c r="E15" s="176"/>
      <c r="F15" s="176"/>
      <c r="G15" s="98"/>
      <c r="H15" s="98"/>
      <c r="I15" s="98"/>
      <c r="J15" s="99"/>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x14ac:dyDescent="0.2">
      <c r="A16" s="102"/>
      <c r="B16" s="98"/>
      <c r="C16" s="568" t="s">
        <v>203</v>
      </c>
      <c r="D16" s="505">
        <v>98</v>
      </c>
      <c r="E16" s="176"/>
      <c r="F16" s="176"/>
      <c r="G16" s="98"/>
      <c r="H16" s="98"/>
      <c r="I16" s="98"/>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x14ac:dyDescent="0.2">
      <c r="A17" s="102"/>
      <c r="B17" s="98"/>
      <c r="C17" s="104"/>
      <c r="D17" s="104"/>
      <c r="E17" s="176"/>
      <c r="F17" s="176"/>
      <c r="G17" s="98"/>
      <c r="H17" s="98"/>
      <c r="I17" s="98"/>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x14ac:dyDescent="0.2">
      <c r="A18" s="102"/>
      <c r="B18" s="175" t="s">
        <v>213</v>
      </c>
      <c r="C18" s="104"/>
      <c r="D18" s="106"/>
      <c r="E18" s="104"/>
      <c r="F18" s="104"/>
      <c r="G18" s="104"/>
      <c r="H18" s="98"/>
      <c r="I18" s="98"/>
      <c r="J18" s="99"/>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x14ac:dyDescent="0.2">
      <c r="A19" s="102"/>
      <c r="B19" s="175" t="s">
        <v>214</v>
      </c>
      <c r="C19" s="104"/>
      <c r="D19" s="106"/>
      <c r="E19" s="104"/>
      <c r="F19" s="98"/>
      <c r="G19" s="98"/>
      <c r="H19" s="98"/>
      <c r="I19" s="98"/>
      <c r="J19" s="99"/>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x14ac:dyDescent="0.2">
      <c r="A20" s="102"/>
      <c r="B20" s="202" t="s">
        <v>216</v>
      </c>
      <c r="C20" s="104"/>
      <c r="D20" s="104"/>
      <c r="E20" s="104"/>
      <c r="F20" s="98"/>
      <c r="G20" s="98"/>
      <c r="H20" s="98"/>
      <c r="I20" s="98"/>
      <c r="J20" s="99"/>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x14ac:dyDescent="0.2">
      <c r="A21" s="102"/>
      <c r="B21" s="175" t="s">
        <v>218</v>
      </c>
      <c r="C21" s="104"/>
      <c r="D21" s="104"/>
      <c r="E21" s="104"/>
      <c r="F21" s="98"/>
      <c r="G21" s="98"/>
      <c r="H21" s="98"/>
      <c r="I21" s="98"/>
      <c r="J21" s="99"/>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x14ac:dyDescent="0.2">
      <c r="A22" s="102"/>
      <c r="B22" s="98"/>
      <c r="C22" s="104"/>
      <c r="D22" s="104"/>
      <c r="E22" s="104"/>
      <c r="F22" s="98"/>
      <c r="G22" s="98"/>
      <c r="H22" s="98"/>
      <c r="I22" s="98"/>
      <c r="J22" s="99"/>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ht="16" customHeight="1" x14ac:dyDescent="0.2">
      <c r="A23" s="102" t="s">
        <v>80</v>
      </c>
      <c r="B23" s="72" t="s">
        <v>228</v>
      </c>
      <c r="C23" s="107"/>
      <c r="D23" s="107"/>
      <c r="E23" s="107"/>
      <c r="F23" s="107"/>
      <c r="G23" s="107"/>
      <c r="H23" s="107"/>
      <c r="I23" s="107"/>
      <c r="J23" s="99"/>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ht="16" customHeight="1" x14ac:dyDescent="0.2">
      <c r="A24" s="102"/>
      <c r="B24" s="72" t="s">
        <v>226</v>
      </c>
      <c r="C24" s="107"/>
      <c r="D24" s="107"/>
      <c r="E24" s="107"/>
      <c r="F24" s="107"/>
      <c r="G24" s="107"/>
      <c r="H24" s="107"/>
      <c r="I24" s="107"/>
      <c r="J24" s="99"/>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ht="16" customHeight="1" x14ac:dyDescent="0.2">
      <c r="A25" s="102"/>
      <c r="B25" s="72" t="s">
        <v>227</v>
      </c>
      <c r="C25" s="107"/>
      <c r="D25" s="107"/>
      <c r="E25" s="107"/>
      <c r="F25" s="107"/>
      <c r="G25" s="107"/>
      <c r="H25" s="107"/>
      <c r="I25" s="107"/>
      <c r="J25" s="99"/>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ht="16" customHeight="1" x14ac:dyDescent="0.2">
      <c r="A26" s="102"/>
      <c r="B26" s="72"/>
      <c r="C26" s="107"/>
      <c r="D26" s="107"/>
      <c r="E26" s="107"/>
      <c r="F26" s="107"/>
      <c r="G26" s="107"/>
      <c r="H26" s="107"/>
      <c r="I26" s="107"/>
      <c r="J26" s="99"/>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ht="16" customHeight="1" x14ac:dyDescent="0.2">
      <c r="A27" s="102" t="s">
        <v>81</v>
      </c>
      <c r="B27" s="72" t="s">
        <v>241</v>
      </c>
      <c r="C27" s="107"/>
      <c r="D27" s="107"/>
      <c r="E27" s="107"/>
      <c r="F27" s="107"/>
      <c r="G27" s="107"/>
      <c r="H27" s="107"/>
      <c r="I27" s="107"/>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ht="16" customHeight="1" x14ac:dyDescent="0.2">
      <c r="A28" s="102"/>
      <c r="B28" s="72" t="s">
        <v>237</v>
      </c>
      <c r="C28" s="107"/>
      <c r="D28" s="107"/>
      <c r="E28" s="107"/>
      <c r="F28" s="107"/>
      <c r="G28" s="107"/>
      <c r="H28" s="107"/>
      <c r="I28" s="107"/>
      <c r="J28" s="99"/>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ht="16" customHeight="1" x14ac:dyDescent="0.2">
      <c r="A29" s="102"/>
      <c r="B29" s="72" t="s">
        <v>238</v>
      </c>
      <c r="C29" s="107"/>
      <c r="D29" s="107"/>
      <c r="E29" s="107"/>
      <c r="F29" s="107"/>
      <c r="G29" s="107"/>
      <c r="H29" s="107"/>
      <c r="I29" s="107"/>
      <c r="J29" s="99"/>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ht="17" thickBot="1" x14ac:dyDescent="0.25">
      <c r="A30" s="108"/>
      <c r="B30" s="109"/>
      <c r="C30" s="110"/>
      <c r="D30" s="110"/>
      <c r="E30" s="110"/>
      <c r="F30" s="109"/>
      <c r="G30" s="109"/>
      <c r="H30" s="109"/>
      <c r="I30" s="109"/>
      <c r="J30" s="111"/>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ht="19" x14ac:dyDescent="0.25">
      <c r="A32" s="4" t="s">
        <v>9</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50" ht="16" customHeight="1" x14ac:dyDescent="0.2">
      <c r="A33" s="8" t="s">
        <v>219</v>
      </c>
      <c r="B33" s="7"/>
      <c r="C33" s="7"/>
      <c r="D33" s="7"/>
      <c r="E33" s="7"/>
      <c r="F33" s="7"/>
      <c r="G33" s="7"/>
      <c r="H33" s="7"/>
      <c r="I33" s="7"/>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50" ht="16" customHeight="1" x14ac:dyDescent="0.2">
      <c r="A34" s="6" t="s">
        <v>8</v>
      </c>
      <c r="B34" s="632" t="s">
        <v>247</v>
      </c>
      <c r="C34" s="632"/>
      <c r="D34" s="632"/>
      <c r="E34" s="632"/>
      <c r="F34" s="632"/>
      <c r="G34" s="632"/>
      <c r="H34" s="632"/>
      <c r="I34" s="632"/>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50" ht="16" customHeight="1" x14ac:dyDescent="0.2">
      <c r="A35" s="6"/>
      <c r="B35" s="632"/>
      <c r="C35" s="632"/>
      <c r="D35" s="632"/>
      <c r="E35" s="632"/>
      <c r="F35" s="632"/>
      <c r="G35" s="632"/>
      <c r="H35" s="632"/>
      <c r="I35" s="632"/>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50" ht="16" customHeight="1" x14ac:dyDescent="0.2">
      <c r="A36" s="6"/>
      <c r="B36" s="632"/>
      <c r="C36" s="632"/>
      <c r="D36" s="632"/>
      <c r="E36" s="632"/>
      <c r="F36" s="632"/>
      <c r="G36" s="632"/>
      <c r="H36" s="632"/>
      <c r="I36" s="632"/>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50" ht="16" customHeight="1" x14ac:dyDescent="0.2">
      <c r="A37" s="6"/>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50" ht="16" customHeight="1" x14ac:dyDescent="0.2">
      <c r="A38" s="6"/>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50" ht="16" customHeight="1" x14ac:dyDescent="0.2">
      <c r="A39" s="6"/>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50" ht="16" customHeight="1" x14ac:dyDescent="0.2">
      <c r="A40" s="6"/>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50" ht="16" customHeight="1" x14ac:dyDescent="0.2">
      <c r="A41" s="6"/>
      <c r="B41" s="100"/>
      <c r="C41" s="649" t="s">
        <v>236</v>
      </c>
      <c r="D41" s="649"/>
      <c r="E41" s="649"/>
      <c r="F41" s="649"/>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50" ht="16" customHeight="1" x14ac:dyDescent="0.2">
      <c r="A42" s="6"/>
      <c r="B42" s="100"/>
      <c r="C42" s="187" t="s">
        <v>164</v>
      </c>
      <c r="D42" s="179" t="s">
        <v>167</v>
      </c>
      <c r="E42" s="114"/>
      <c r="F42" s="114"/>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row>
    <row r="43" spans="1:50" ht="16" customHeight="1" x14ac:dyDescent="0.2">
      <c r="A43" s="6"/>
      <c r="B43" s="100"/>
      <c r="C43" s="187" t="s">
        <v>212</v>
      </c>
      <c r="D43" s="179" t="s">
        <v>204</v>
      </c>
      <c r="E43" s="178" t="s">
        <v>204</v>
      </c>
      <c r="F43" s="178" t="s">
        <v>222</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row>
    <row r="44" spans="1:50" ht="16" customHeight="1" x14ac:dyDescent="0.2">
      <c r="A44" s="6"/>
      <c r="B44" s="100"/>
      <c r="C44" s="188" t="s">
        <v>195</v>
      </c>
      <c r="D44" s="180" t="s">
        <v>160</v>
      </c>
      <c r="E44" s="191" t="s">
        <v>205</v>
      </c>
      <c r="F44" s="15" t="s">
        <v>205</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row>
    <row r="45" spans="1:50" ht="16" customHeight="1" x14ac:dyDescent="0.2">
      <c r="A45" s="6"/>
      <c r="B45" s="100"/>
      <c r="C45" s="192" t="str">
        <f>C9</f>
        <v>2022 Q1</v>
      </c>
      <c r="D45" s="193">
        <v>44607</v>
      </c>
      <c r="E45" s="10">
        <f t="shared" ref="E45:E52" si="0">D9</f>
        <v>182</v>
      </c>
      <c r="F45" s="9">
        <f>0.5*E45*G9</f>
        <v>9.1</v>
      </c>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row>
    <row r="46" spans="1:50" ht="16" customHeight="1" x14ac:dyDescent="0.2">
      <c r="A46" s="6"/>
      <c r="B46" s="100"/>
      <c r="C46" s="189" t="str">
        <f t="shared" ref="C46:C52" si="1">C10</f>
        <v>2022 Q2</v>
      </c>
      <c r="D46" s="193">
        <v>44696</v>
      </c>
      <c r="E46" s="10">
        <f t="shared" si="0"/>
        <v>765</v>
      </c>
      <c r="F46" s="184">
        <f>(E45+0.5*E46)*G10</f>
        <v>225.8</v>
      </c>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row>
    <row r="47" spans="1:50" ht="16" customHeight="1" x14ac:dyDescent="0.2">
      <c r="A47" s="6"/>
      <c r="B47" s="100"/>
      <c r="C47" s="189" t="str">
        <f t="shared" si="1"/>
        <v>2022 Q3</v>
      </c>
      <c r="D47" s="193">
        <v>44788</v>
      </c>
      <c r="E47" s="10">
        <f t="shared" si="0"/>
        <v>707</v>
      </c>
      <c r="F47" s="184">
        <f>(SUM(E45:E46)+0.5*E47)*G11</f>
        <v>520.20000000000005</v>
      </c>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row>
    <row r="48" spans="1:50" ht="16" customHeight="1" x14ac:dyDescent="0.2">
      <c r="A48" s="6"/>
      <c r="B48" s="100"/>
      <c r="C48" s="190" t="str">
        <f t="shared" si="1"/>
        <v>2022 Q4</v>
      </c>
      <c r="D48" s="194">
        <v>44880</v>
      </c>
      <c r="E48" s="181">
        <f t="shared" si="0"/>
        <v>155</v>
      </c>
      <c r="F48" s="185">
        <f>(SUM(E45:E47)+0.5*E48)*G12</f>
        <v>173.15</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row>
    <row r="49" spans="1:50" ht="16" customHeight="1" x14ac:dyDescent="0.2">
      <c r="A49" s="6"/>
      <c r="B49" s="100"/>
      <c r="C49" s="189" t="str">
        <f t="shared" si="1"/>
        <v>2023 Q1</v>
      </c>
      <c r="D49" s="193">
        <v>44972</v>
      </c>
      <c r="E49" s="10">
        <f t="shared" si="0"/>
        <v>208</v>
      </c>
      <c r="F49" s="184">
        <f>(0.5*E45+SUM(E46:E48)+0.5*E49)*G9</f>
        <v>182.20000000000002</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row>
    <row r="50" spans="1:50" ht="16" customHeight="1" x14ac:dyDescent="0.2">
      <c r="A50" s="6"/>
      <c r="B50" s="100"/>
      <c r="C50" s="189" t="str">
        <f t="shared" si="1"/>
        <v>2023 Q2</v>
      </c>
      <c r="D50" s="193">
        <v>45061</v>
      </c>
      <c r="E50" s="10">
        <f t="shared" si="0"/>
        <v>842</v>
      </c>
      <c r="F50" s="184">
        <f>(0.5*E46+SUM(E47:E49)+0.5*E50)*G10</f>
        <v>749.40000000000009</v>
      </c>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row>
    <row r="51" spans="1:50" ht="16" customHeight="1" x14ac:dyDescent="0.2">
      <c r="A51" s="6"/>
      <c r="B51" s="100"/>
      <c r="C51" s="189" t="str">
        <f t="shared" si="1"/>
        <v>2023 Q3</v>
      </c>
      <c r="D51" s="193">
        <v>45153</v>
      </c>
      <c r="E51" s="10">
        <f t="shared" si="0"/>
        <v>735</v>
      </c>
      <c r="F51" s="184">
        <f>(0.5*E47+SUM(E48:E50)+0.5*E51)*G11</f>
        <v>770.40000000000009</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row>
    <row r="52" spans="1:50" ht="16" customHeight="1" x14ac:dyDescent="0.2">
      <c r="A52" s="6"/>
      <c r="B52" s="100"/>
      <c r="C52" s="189" t="str">
        <f t="shared" si="1"/>
        <v>2023 Q4</v>
      </c>
      <c r="D52" s="193">
        <v>45245</v>
      </c>
      <c r="E52" s="10">
        <f t="shared" si="0"/>
        <v>98</v>
      </c>
      <c r="F52" s="184">
        <f>(0.5*E48+SUM(E49:E51)+0.5*E52)*G12</f>
        <v>191.15</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row>
    <row r="53" spans="1:50" ht="16" customHeight="1" x14ac:dyDescent="0.2">
      <c r="A53" s="6"/>
      <c r="B53" s="100"/>
      <c r="C53" s="100"/>
      <c r="D53" s="100"/>
      <c r="E53" s="100"/>
      <c r="F53" s="100"/>
      <c r="G53" s="100"/>
      <c r="H53" s="100"/>
      <c r="I53" s="100"/>
      <c r="J53" s="100"/>
      <c r="K53" s="100"/>
      <c r="L53" s="2"/>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50" ht="16" customHeight="1" x14ac:dyDescent="0.2">
      <c r="A54" s="6"/>
      <c r="B54" s="7" t="s">
        <v>223</v>
      </c>
      <c r="C54" s="100"/>
      <c r="D54" s="100"/>
      <c r="E54" s="100"/>
      <c r="F54" s="100"/>
      <c r="G54" s="100"/>
      <c r="H54" s="100"/>
      <c r="I54" s="100"/>
      <c r="J54" s="100"/>
      <c r="K54" s="100"/>
      <c r="L54" s="2"/>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50" ht="16" customHeight="1" x14ac:dyDescent="0.2">
      <c r="A55" s="6"/>
      <c r="B55" s="195" t="s">
        <v>232</v>
      </c>
      <c r="C55" s="100"/>
      <c r="D55" s="100"/>
      <c r="E55" s="100"/>
      <c r="F55" s="100"/>
      <c r="G55" s="100"/>
      <c r="H55" s="100"/>
      <c r="I55" s="100"/>
      <c r="J55" s="100"/>
      <c r="K55" s="100"/>
      <c r="L55" s="2"/>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50" ht="16" customHeight="1" x14ac:dyDescent="0.2">
      <c r="A56" s="6"/>
      <c r="B56" s="195" t="s">
        <v>233</v>
      </c>
      <c r="C56" s="100"/>
      <c r="D56" s="100"/>
      <c r="E56" s="100"/>
      <c r="F56" s="100"/>
      <c r="G56" s="100"/>
      <c r="H56" s="100"/>
      <c r="I56" s="100"/>
      <c r="J56" s="100"/>
      <c r="K56" s="100"/>
      <c r="L56" s="2"/>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50" ht="16" customHeight="1" x14ac:dyDescent="0.2">
      <c r="A57" s="6"/>
      <c r="B57" s="195" t="s">
        <v>234</v>
      </c>
      <c r="C57" s="100"/>
      <c r="D57" s="100"/>
      <c r="E57" s="100"/>
      <c r="F57" s="100"/>
      <c r="G57" s="100"/>
      <c r="H57" s="100"/>
      <c r="I57" s="100"/>
      <c r="J57" s="100"/>
      <c r="K57" s="100"/>
      <c r="L57" s="2"/>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50" ht="16" customHeight="1" x14ac:dyDescent="0.2">
      <c r="A58" s="6"/>
      <c r="B58" s="100"/>
      <c r="C58" s="100"/>
      <c r="D58" s="100"/>
      <c r="E58" s="100"/>
      <c r="F58" s="100"/>
      <c r="G58" s="100"/>
      <c r="H58" s="100"/>
      <c r="I58" s="100"/>
      <c r="J58" s="100"/>
      <c r="K58" s="100"/>
      <c r="L58" s="2"/>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50" ht="16" customHeight="1" x14ac:dyDescent="0.2">
      <c r="A59" s="6" t="s">
        <v>7</v>
      </c>
      <c r="B59" s="632" t="s">
        <v>239</v>
      </c>
      <c r="C59" s="632"/>
      <c r="D59" s="632"/>
      <c r="E59" s="632"/>
      <c r="F59" s="632"/>
      <c r="G59" s="632"/>
      <c r="H59" s="632"/>
      <c r="I59" s="632"/>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50" ht="16" customHeight="1" x14ac:dyDescent="0.2">
      <c r="A60" s="6"/>
      <c r="B60" s="632"/>
      <c r="C60" s="632"/>
      <c r="D60" s="632"/>
      <c r="E60" s="632"/>
      <c r="F60" s="632"/>
      <c r="G60" s="632"/>
      <c r="H60" s="632"/>
      <c r="I60" s="632"/>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50" ht="16" customHeight="1" x14ac:dyDescent="0.2">
      <c r="A61" s="6"/>
      <c r="B61" s="632"/>
      <c r="C61" s="632"/>
      <c r="D61" s="632"/>
      <c r="E61" s="632"/>
      <c r="F61" s="632"/>
      <c r="G61" s="632"/>
      <c r="H61" s="632"/>
      <c r="I61" s="632"/>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50" ht="16" customHeight="1" x14ac:dyDescent="0.2">
      <c r="A62" s="6"/>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50" ht="16" customHeight="1" x14ac:dyDescent="0.2">
      <c r="A63" s="6"/>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50" ht="16" customHeight="1" x14ac:dyDescent="0.2">
      <c r="A64" s="6"/>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50" ht="16" customHeight="1" x14ac:dyDescent="0.2">
      <c r="A65" s="6"/>
      <c r="B65" s="100"/>
      <c r="C65" s="649" t="s">
        <v>235</v>
      </c>
      <c r="D65" s="649"/>
      <c r="E65" s="649"/>
      <c r="F65" s="649"/>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50" ht="16" customHeight="1" x14ac:dyDescent="0.2">
      <c r="A66" s="6"/>
      <c r="B66" s="100"/>
      <c r="C66" s="187" t="s">
        <v>69</v>
      </c>
      <c r="D66" s="179" t="s">
        <v>167</v>
      </c>
      <c r="E66" s="114"/>
      <c r="F66" s="114"/>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row>
    <row r="67" spans="1:50" ht="16" customHeight="1" x14ac:dyDescent="0.2">
      <c r="A67" s="6"/>
      <c r="B67" s="100"/>
      <c r="C67" s="187" t="s">
        <v>212</v>
      </c>
      <c r="D67" s="179" t="s">
        <v>204</v>
      </c>
      <c r="E67" s="178" t="s">
        <v>204</v>
      </c>
      <c r="F67" s="178" t="s">
        <v>222</v>
      </c>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row>
    <row r="68" spans="1:50" ht="16" customHeight="1" x14ac:dyDescent="0.2">
      <c r="A68" s="6"/>
      <c r="B68" s="100"/>
      <c r="C68" s="188" t="s">
        <v>195</v>
      </c>
      <c r="D68" s="180" t="s">
        <v>160</v>
      </c>
      <c r="E68" s="191" t="s">
        <v>205</v>
      </c>
      <c r="F68" s="15" t="s">
        <v>205</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row>
    <row r="69" spans="1:50" ht="16" customHeight="1" x14ac:dyDescent="0.2">
      <c r="A69" s="6"/>
      <c r="B69" s="100"/>
      <c r="C69" s="192" t="str">
        <f t="shared" ref="C69:C76" si="2">C9</f>
        <v>2022 Q1</v>
      </c>
      <c r="D69" s="193">
        <v>44607</v>
      </c>
      <c r="E69" s="10">
        <f t="shared" ref="E69:E76" si="3">D9</f>
        <v>182</v>
      </c>
      <c r="F69" s="183">
        <f>E69</f>
        <v>182</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row>
    <row r="70" spans="1:50" ht="16" customHeight="1" x14ac:dyDescent="0.2">
      <c r="A70" s="6"/>
      <c r="B70" s="100"/>
      <c r="C70" s="189" t="str">
        <f t="shared" si="2"/>
        <v>2022 Q2</v>
      </c>
      <c r="D70" s="193">
        <v>44696</v>
      </c>
      <c r="E70" s="10">
        <f t="shared" si="3"/>
        <v>765</v>
      </c>
      <c r="F70" s="114">
        <f>E70</f>
        <v>765</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row>
    <row r="71" spans="1:50" ht="16" customHeight="1" x14ac:dyDescent="0.2">
      <c r="A71" s="6"/>
      <c r="B71" s="100"/>
      <c r="C71" s="189" t="str">
        <f t="shared" si="2"/>
        <v>2022 Q3</v>
      </c>
      <c r="D71" s="193">
        <v>44788</v>
      </c>
      <c r="E71" s="10">
        <f t="shared" si="3"/>
        <v>707</v>
      </c>
      <c r="F71" s="114">
        <f>E71</f>
        <v>707</v>
      </c>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row>
    <row r="72" spans="1:50" ht="16" customHeight="1" x14ac:dyDescent="0.2">
      <c r="A72" s="6"/>
      <c r="B72" s="100"/>
      <c r="C72" s="190" t="str">
        <f t="shared" si="2"/>
        <v>2022 Q4</v>
      </c>
      <c r="D72" s="194">
        <v>44880</v>
      </c>
      <c r="E72" s="181">
        <f t="shared" si="3"/>
        <v>155</v>
      </c>
      <c r="F72" s="182">
        <f>E72</f>
        <v>155</v>
      </c>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row>
    <row r="73" spans="1:50" ht="16" customHeight="1" x14ac:dyDescent="0.2">
      <c r="A73" s="6"/>
      <c r="B73" s="100"/>
      <c r="C73" s="189" t="str">
        <f t="shared" si="2"/>
        <v>2023 Q1</v>
      </c>
      <c r="D73" s="193">
        <v>44972</v>
      </c>
      <c r="E73" s="10">
        <f t="shared" si="3"/>
        <v>208</v>
      </c>
      <c r="F73" s="139">
        <f>E73</f>
        <v>208</v>
      </c>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row>
    <row r="74" spans="1:50" ht="16" customHeight="1" x14ac:dyDescent="0.2">
      <c r="A74" s="6"/>
      <c r="B74" s="100"/>
      <c r="C74" s="189" t="str">
        <f t="shared" si="2"/>
        <v>2023 Q2</v>
      </c>
      <c r="D74" s="193">
        <v>45061</v>
      </c>
      <c r="E74" s="10">
        <f t="shared" si="3"/>
        <v>842</v>
      </c>
      <c r="F74" s="198">
        <f>E74*(0.5*G10+SUM($G$11,$G$12,$G$9))</f>
        <v>673.6</v>
      </c>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row>
    <row r="75" spans="1:50" ht="16" customHeight="1" x14ac:dyDescent="0.2">
      <c r="A75" s="6"/>
      <c r="B75" s="100"/>
      <c r="C75" s="189" t="str">
        <f t="shared" si="2"/>
        <v>2023 Q3</v>
      </c>
      <c r="D75" s="193">
        <v>45153</v>
      </c>
      <c r="E75" s="10">
        <f t="shared" si="3"/>
        <v>735</v>
      </c>
      <c r="F75" s="198">
        <f>E75*(0.5*G11+SUM($G$12,$G$9))</f>
        <v>294</v>
      </c>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row>
    <row r="76" spans="1:50" ht="16" customHeight="1" x14ac:dyDescent="0.2">
      <c r="A76" s="6"/>
      <c r="B76" s="100"/>
      <c r="C76" s="189" t="str">
        <f t="shared" si="2"/>
        <v>2023 Q4</v>
      </c>
      <c r="D76" s="193">
        <v>45245</v>
      </c>
      <c r="E76" s="10">
        <f t="shared" si="3"/>
        <v>98</v>
      </c>
      <c r="F76" s="198">
        <f>E76*(0.5*G12+G9)</f>
        <v>14.700000000000003</v>
      </c>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row>
    <row r="77" spans="1:50" ht="16" customHeight="1" x14ac:dyDescent="0.2">
      <c r="A77" s="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50" ht="16" customHeight="1" x14ac:dyDescent="0.2">
      <c r="A78" s="6"/>
      <c r="B78" s="7" t="s">
        <v>223</v>
      </c>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50" ht="16" customHeight="1" x14ac:dyDescent="0.2">
      <c r="A79" s="6"/>
      <c r="B79" s="195" t="s">
        <v>229</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50" ht="16" customHeight="1" x14ac:dyDescent="0.2">
      <c r="A80" s="6"/>
      <c r="B80" s="195" t="s">
        <v>230</v>
      </c>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49" ht="16" customHeight="1" x14ac:dyDescent="0.2">
      <c r="A81" s="6"/>
      <c r="B81" s="195" t="s">
        <v>231</v>
      </c>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49" ht="16" customHeight="1" x14ac:dyDescent="0.2">
      <c r="A82" s="6"/>
      <c r="B82" s="100"/>
      <c r="C82" s="100"/>
      <c r="D82" s="100"/>
      <c r="E82" s="100"/>
      <c r="F82" s="100"/>
      <c r="G82" s="100"/>
      <c r="H82" s="100"/>
      <c r="I82" s="100"/>
      <c r="J82" s="100"/>
      <c r="K82" s="100"/>
      <c r="L82" s="2"/>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49" ht="16" customHeight="1" x14ac:dyDescent="0.2">
      <c r="A83" s="8" t="s">
        <v>220</v>
      </c>
      <c r="C83" s="100"/>
      <c r="D83" s="100"/>
      <c r="E83"/>
      <c r="F83" s="100"/>
      <c r="G83" s="100"/>
      <c r="H83" s="100"/>
      <c r="I83" s="100"/>
      <c r="J83" s="100"/>
      <c r="K83" s="100"/>
      <c r="L83" s="2"/>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49" ht="16" customHeight="1" x14ac:dyDescent="0.2">
      <c r="A84" s="6" t="s">
        <v>6</v>
      </c>
      <c r="B84" s="632" t="s">
        <v>240</v>
      </c>
      <c r="C84" s="632"/>
      <c r="D84" s="632"/>
      <c r="E84" s="632"/>
      <c r="F84" s="632"/>
      <c r="G84" s="632"/>
      <c r="H84" s="632"/>
      <c r="I84" s="632"/>
      <c r="J84" s="100"/>
      <c r="K84" s="100"/>
      <c r="L84" s="2"/>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49" ht="16" customHeight="1" x14ac:dyDescent="0.2">
      <c r="A85" s="6"/>
      <c r="B85" s="632"/>
      <c r="C85" s="632"/>
      <c r="D85" s="632"/>
      <c r="E85" s="632"/>
      <c r="F85" s="632"/>
      <c r="G85" s="632"/>
      <c r="H85" s="632"/>
      <c r="I85" s="632"/>
      <c r="J85" s="100"/>
      <c r="K85" s="100"/>
      <c r="L85" s="2"/>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49" ht="16" customHeight="1" x14ac:dyDescent="0.2">
      <c r="A86" s="6"/>
      <c r="B86" s="100"/>
      <c r="C86" s="100"/>
      <c r="D86" s="100"/>
      <c r="E86" s="100"/>
      <c r="F86" s="100"/>
      <c r="G86" s="100"/>
      <c r="H86" s="100"/>
      <c r="I86" s="100"/>
      <c r="J86" s="100"/>
      <c r="K86" s="100"/>
      <c r="L86" s="2"/>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49" ht="16" customHeight="1" x14ac:dyDescent="0.2">
      <c r="A87" s="6"/>
      <c r="B87" s="100"/>
      <c r="C87" s="100"/>
      <c r="D87" s="100"/>
      <c r="E87" s="100"/>
      <c r="F87" s="100"/>
      <c r="G87" s="100"/>
      <c r="H87" s="100"/>
      <c r="I87" s="100"/>
      <c r="J87" s="100"/>
      <c r="K87" s="100"/>
      <c r="L87" s="2"/>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49" ht="16" customHeight="1" x14ac:dyDescent="0.2">
      <c r="A88" s="6"/>
      <c r="B88" s="100"/>
      <c r="C88" s="100"/>
      <c r="D88" s="100"/>
      <c r="E88" s="100"/>
      <c r="F88" s="100"/>
      <c r="G88" s="100"/>
      <c r="H88" s="100"/>
      <c r="I88" s="100"/>
      <c r="J88" s="100"/>
      <c r="K88" s="100"/>
      <c r="L88" s="2"/>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49" ht="16" customHeight="1" x14ac:dyDescent="0.2">
      <c r="A89" s="6"/>
      <c r="B89" s="100"/>
      <c r="C89" s="199" t="s">
        <v>164</v>
      </c>
      <c r="D89" s="197" t="s">
        <v>244</v>
      </c>
      <c r="E89" s="100"/>
      <c r="F89" s="100"/>
      <c r="G89" s="100"/>
      <c r="H89" s="100"/>
      <c r="I89" s="100"/>
      <c r="J89" s="100"/>
      <c r="K89" s="100"/>
      <c r="L89" s="2"/>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49" ht="16" customHeight="1" x14ac:dyDescent="0.2">
      <c r="A90" s="6"/>
      <c r="B90" s="100"/>
      <c r="C90" s="200" t="s">
        <v>10</v>
      </c>
      <c r="D90" s="191" t="s">
        <v>205</v>
      </c>
      <c r="E90" s="100"/>
      <c r="F90" s="100"/>
      <c r="G90" s="100"/>
      <c r="H90" s="100"/>
      <c r="I90" s="100"/>
      <c r="J90" s="100"/>
      <c r="K90" s="100"/>
      <c r="L90" s="2"/>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row>
    <row r="91" spans="1:49" ht="16" customHeight="1" x14ac:dyDescent="0.2">
      <c r="A91" s="6"/>
      <c r="C91" s="201">
        <v>2022</v>
      </c>
      <c r="D91" s="10">
        <f>SUM(E45:E48)-SUM(F45:F48)+0</f>
        <v>880.75</v>
      </c>
      <c r="E91"/>
      <c r="F91" s="100"/>
      <c r="G91" s="100"/>
      <c r="H91" s="100"/>
      <c r="I91" s="100"/>
      <c r="J91" s="100"/>
      <c r="K91" s="100"/>
      <c r="L91" s="2"/>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row>
    <row r="92" spans="1:49" ht="16" customHeight="1" x14ac:dyDescent="0.2">
      <c r="A92" s="6"/>
      <c r="C92" s="201">
        <v>2023</v>
      </c>
      <c r="D92" s="10">
        <f>SUM(E49:E52)-SUM(F49:F52)+D91</f>
        <v>870.59999999999968</v>
      </c>
      <c r="E92"/>
      <c r="F92" s="100"/>
      <c r="G92" s="100"/>
      <c r="H92" s="100"/>
      <c r="I92" s="100"/>
      <c r="J92" s="100"/>
      <c r="K92" s="100"/>
      <c r="L92" s="2"/>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row>
    <row r="93" spans="1:49" ht="16" customHeight="1" x14ac:dyDescent="0.2">
      <c r="A93" s="6"/>
      <c r="C93" s="189"/>
      <c r="D93" s="10"/>
      <c r="E93"/>
      <c r="F93" s="100"/>
      <c r="G93" s="100"/>
      <c r="H93" s="100"/>
      <c r="I93" s="100"/>
      <c r="J93" s="100"/>
      <c r="K93" s="100"/>
      <c r="L93" s="2"/>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row>
    <row r="94" spans="1:49" ht="16" customHeight="1" x14ac:dyDescent="0.2">
      <c r="A94" s="6"/>
      <c r="B94" s="7" t="s">
        <v>242</v>
      </c>
      <c r="C94" s="189"/>
      <c r="D94" s="10"/>
      <c r="E94"/>
      <c r="F94" s="100"/>
      <c r="G94" s="100"/>
      <c r="H94" s="100"/>
      <c r="I94" s="100"/>
      <c r="J94" s="100"/>
      <c r="K94" s="100"/>
      <c r="L94" s="2"/>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row>
    <row r="95" spans="1:49" ht="16" customHeight="1" x14ac:dyDescent="0.2">
      <c r="A95" s="6"/>
      <c r="B95" s="195" t="s">
        <v>243</v>
      </c>
      <c r="C95" s="189"/>
      <c r="D95" s="10"/>
      <c r="E95"/>
      <c r="F95" s="100"/>
      <c r="G95" s="100"/>
      <c r="H95" s="100"/>
      <c r="I95" s="100"/>
      <c r="J95" s="100"/>
      <c r="K95" s="100"/>
      <c r="L95" s="2"/>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row>
    <row r="96" spans="1:49" ht="16" customHeight="1" x14ac:dyDescent="0.2">
      <c r="A96" s="6"/>
      <c r="C96" s="100"/>
      <c r="D96" s="100"/>
      <c r="E96"/>
      <c r="F96" s="100"/>
      <c r="G96" s="100"/>
      <c r="H96" s="100"/>
      <c r="I96" s="100"/>
      <c r="J96" s="100"/>
      <c r="K96" s="100"/>
      <c r="L96" s="2"/>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row>
    <row r="97" spans="1:65" ht="16" customHeight="1" x14ac:dyDescent="0.2">
      <c r="A97" s="6" t="s">
        <v>5</v>
      </c>
      <c r="B97" s="632" t="s">
        <v>245</v>
      </c>
      <c r="C97" s="632"/>
      <c r="D97" s="632"/>
      <c r="E97" s="632"/>
      <c r="F97" s="632"/>
      <c r="G97" s="632"/>
      <c r="H97" s="632"/>
      <c r="I97" s="632"/>
      <c r="J97" s="100"/>
      <c r="K97" s="100"/>
      <c r="L97" s="2"/>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row>
    <row r="98" spans="1:65" ht="16" customHeight="1" x14ac:dyDescent="0.2">
      <c r="A98" s="6"/>
      <c r="B98" s="632"/>
      <c r="C98" s="632"/>
      <c r="D98" s="632"/>
      <c r="E98" s="632"/>
      <c r="F98" s="632"/>
      <c r="G98" s="632"/>
      <c r="H98" s="632"/>
      <c r="I98" s="632"/>
      <c r="J98" s="100"/>
      <c r="K98" s="100"/>
      <c r="L98" s="2"/>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row>
    <row r="99" spans="1:65" ht="16" customHeight="1" x14ac:dyDescent="0.2">
      <c r="A99" s="6"/>
      <c r="B99" s="100"/>
      <c r="C99" s="100"/>
      <c r="D99" s="100"/>
      <c r="E99" s="100"/>
      <c r="F99" s="100"/>
      <c r="G99" s="100"/>
      <c r="H99" s="100"/>
      <c r="I99" s="100"/>
      <c r="J99" s="100"/>
      <c r="K99" s="100"/>
      <c r="L99" s="2"/>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row>
    <row r="100" spans="1:65" ht="16" customHeight="1" x14ac:dyDescent="0.2">
      <c r="A100" s="6"/>
      <c r="B100" s="100"/>
      <c r="C100" s="100"/>
      <c r="D100" s="100"/>
      <c r="E100" s="100"/>
      <c r="F100" s="100"/>
      <c r="G100" s="100"/>
      <c r="H100" s="100"/>
      <c r="I100" s="100"/>
      <c r="J100" s="100"/>
      <c r="K100" s="100"/>
      <c r="L100" s="2"/>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row>
    <row r="101" spans="1:65" ht="16" customHeight="1" x14ac:dyDescent="0.2">
      <c r="A101" s="6"/>
      <c r="B101" s="100"/>
      <c r="C101" s="100"/>
      <c r="D101" s="100"/>
      <c r="E101" s="100"/>
      <c r="F101" s="100"/>
      <c r="G101" s="100"/>
      <c r="H101" s="100"/>
      <c r="I101" s="100"/>
      <c r="J101" s="100"/>
      <c r="K101" s="100"/>
      <c r="L101" s="2"/>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row>
    <row r="102" spans="1:65" ht="16" customHeight="1" x14ac:dyDescent="0.2">
      <c r="A102" s="6"/>
      <c r="B102" s="100"/>
      <c r="C102" s="199" t="s">
        <v>69</v>
      </c>
      <c r="D102" s="197" t="s">
        <v>244</v>
      </c>
      <c r="E102" s="100"/>
      <c r="F102" s="186"/>
      <c r="G102" s="100"/>
      <c r="H102" s="100"/>
      <c r="I102" s="100"/>
      <c r="J102" s="100"/>
      <c r="K102" s="100"/>
      <c r="L102" s="2"/>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row>
    <row r="103" spans="1:65" ht="16" customHeight="1" x14ac:dyDescent="0.2">
      <c r="A103" s="6"/>
      <c r="B103" s="100"/>
      <c r="C103" s="200" t="s">
        <v>10</v>
      </c>
      <c r="D103" s="191" t="s">
        <v>205</v>
      </c>
      <c r="E103" s="100"/>
      <c r="F103" s="186"/>
      <c r="G103" s="100"/>
      <c r="H103" s="100"/>
      <c r="I103" s="100"/>
      <c r="J103" s="100"/>
      <c r="K103" s="100"/>
      <c r="L103" s="2"/>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row>
    <row r="104" spans="1:65" ht="16" customHeight="1" x14ac:dyDescent="0.2">
      <c r="A104" s="6"/>
      <c r="B104" s="100"/>
      <c r="C104" s="201">
        <v>2022</v>
      </c>
      <c r="D104" s="10">
        <f>SUM(E69:E72)-SUM(F69:F72)</f>
        <v>0</v>
      </c>
      <c r="E104" s="273" t="s">
        <v>246</v>
      </c>
      <c r="F104" s="186"/>
      <c r="G104" s="100"/>
      <c r="H104" s="100"/>
      <c r="I104" s="100"/>
      <c r="J104" s="100"/>
      <c r="K104" s="100"/>
      <c r="L104" s="2"/>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row>
    <row r="105" spans="1:65" x14ac:dyDescent="0.2">
      <c r="C105" s="201">
        <v>2023</v>
      </c>
      <c r="D105" s="10">
        <f>SUM(E73:E76)-SUM(F73:F76)</f>
        <v>692.7</v>
      </c>
      <c r="E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row>
    <row r="106" spans="1:65" x14ac:dyDescent="0.2">
      <c r="C106" s="189"/>
      <c r="D106" s="10"/>
      <c r="E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row>
    <row r="107" spans="1:65" ht="19" x14ac:dyDescent="0.25">
      <c r="A107" s="4" t="s">
        <v>3</v>
      </c>
      <c r="B107" s="100"/>
      <c r="C107" s="100"/>
      <c r="D107" s="100"/>
      <c r="E107" s="100"/>
      <c r="F107" s="100"/>
      <c r="G107" s="100"/>
      <c r="H107" s="100"/>
      <c r="I107" s="100"/>
      <c r="J107" s="100"/>
      <c r="K107" s="100"/>
      <c r="L107" s="2"/>
      <c r="M107" s="2"/>
      <c r="N107" s="2"/>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row>
    <row r="108" spans="1:65" ht="16" customHeight="1" x14ac:dyDescent="0.2">
      <c r="A108" s="2"/>
      <c r="B108" s="650" t="s">
        <v>555</v>
      </c>
      <c r="C108" s="651"/>
      <c r="D108" s="651"/>
      <c r="E108" s="651"/>
      <c r="F108" s="651"/>
      <c r="G108" s="651"/>
      <c r="H108" s="651"/>
      <c r="I108" s="651"/>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1:65" x14ac:dyDescent="0.2">
      <c r="A109" s="2"/>
      <c r="B109" s="651"/>
      <c r="C109" s="651"/>
      <c r="D109" s="651"/>
      <c r="E109" s="651"/>
      <c r="F109" s="651"/>
      <c r="G109" s="651"/>
      <c r="H109" s="651"/>
      <c r="I109" s="651"/>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1:65" x14ac:dyDescent="0.2">
      <c r="A110" s="2"/>
      <c r="B110" s="651"/>
      <c r="C110" s="651"/>
      <c r="D110" s="651"/>
      <c r="E110" s="651"/>
      <c r="F110" s="651"/>
      <c r="G110" s="651"/>
      <c r="H110" s="651"/>
      <c r="I110" s="651"/>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65" x14ac:dyDescent="0.2">
      <c r="A111" s="2"/>
      <c r="B111" s="651"/>
      <c r="C111" s="651"/>
      <c r="D111" s="651"/>
      <c r="E111" s="651"/>
      <c r="F111" s="651"/>
      <c r="G111" s="651"/>
      <c r="H111" s="651"/>
      <c r="I111" s="651"/>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1:65" x14ac:dyDescent="0.2">
      <c r="A112" s="2"/>
      <c r="B112" s="651"/>
      <c r="C112" s="651"/>
      <c r="D112" s="651"/>
      <c r="E112" s="651"/>
      <c r="F112" s="651"/>
      <c r="G112" s="651"/>
      <c r="H112" s="651"/>
      <c r="I112" s="651"/>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1:65" x14ac:dyDescent="0.2">
      <c r="A113" s="2"/>
      <c r="B113" s="651"/>
      <c r="C113" s="651"/>
      <c r="D113" s="651"/>
      <c r="E113" s="651"/>
      <c r="F113" s="651"/>
      <c r="G113" s="651"/>
      <c r="H113" s="651"/>
      <c r="I113" s="651"/>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1:65" x14ac:dyDescent="0.2">
      <c r="A114" s="2"/>
      <c r="B114" s="651"/>
      <c r="C114" s="651"/>
      <c r="D114" s="651"/>
      <c r="E114" s="651"/>
      <c r="F114" s="651"/>
      <c r="G114" s="651"/>
      <c r="H114" s="651"/>
      <c r="I114" s="651"/>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1:65" x14ac:dyDescent="0.2">
      <c r="A115" s="2"/>
      <c r="B115" s="651"/>
      <c r="C115" s="651"/>
      <c r="D115" s="651"/>
      <c r="E115" s="651"/>
      <c r="F115" s="651"/>
      <c r="G115" s="651"/>
      <c r="H115" s="651"/>
      <c r="I115" s="651"/>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65" x14ac:dyDescent="0.2">
      <c r="A116" s="2"/>
      <c r="B116" s="651"/>
      <c r="C116" s="651"/>
      <c r="D116" s="651"/>
      <c r="E116" s="651"/>
      <c r="F116" s="651"/>
      <c r="G116" s="651"/>
      <c r="H116" s="651"/>
      <c r="I116" s="651"/>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1:65" x14ac:dyDescent="0.2">
      <c r="A117" s="2"/>
      <c r="B117" s="651"/>
      <c r="C117" s="651"/>
      <c r="D117" s="651"/>
      <c r="E117" s="651"/>
      <c r="F117" s="651"/>
      <c r="G117" s="651"/>
      <c r="H117" s="651"/>
      <c r="I117" s="651"/>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1:65" x14ac:dyDescent="0.2">
      <c r="A118" s="2"/>
      <c r="B118" s="651"/>
      <c r="C118" s="651"/>
      <c r="D118" s="651"/>
      <c r="E118" s="651"/>
      <c r="F118" s="651"/>
      <c r="G118" s="651"/>
      <c r="H118" s="651"/>
      <c r="I118" s="651"/>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1:65" x14ac:dyDescent="0.2">
      <c r="A119" s="2"/>
      <c r="B119" s="100"/>
      <c r="C119" s="100"/>
      <c r="D119" s="100"/>
      <c r="E119" s="100"/>
      <c r="F119" s="100"/>
      <c r="G119" s="100"/>
      <c r="H119" s="100"/>
      <c r="I119" s="100"/>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1:65" ht="19" x14ac:dyDescent="0.25">
      <c r="A120" s="4" t="s">
        <v>1</v>
      </c>
      <c r="B120" s="100"/>
      <c r="C120" s="100"/>
      <c r="D120" s="100"/>
      <c r="E120" s="100"/>
      <c r="F120" s="100"/>
      <c r="G120" s="100"/>
      <c r="H120" s="100"/>
      <c r="I120" s="100"/>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1:65" x14ac:dyDescent="0.2">
      <c r="A121" s="2"/>
      <c r="B121" s="605" t="s">
        <v>556</v>
      </c>
      <c r="C121" s="100"/>
      <c r="D121" s="100"/>
      <c r="E121" s="100"/>
      <c r="F121" s="100"/>
      <c r="G121" s="100"/>
      <c r="H121" s="100"/>
      <c r="I121" s="100"/>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1:65" x14ac:dyDescent="0.2">
      <c r="A122" s="2"/>
      <c r="B122" s="100"/>
      <c r="C122" s="100"/>
      <c r="D122" s="100"/>
      <c r="E122" s="100"/>
      <c r="F122" s="100"/>
      <c r="G122" s="100"/>
      <c r="H122" s="100"/>
      <c r="I122" s="100"/>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1:65" ht="19" x14ac:dyDescent="0.25">
      <c r="A123" s="4" t="s">
        <v>0</v>
      </c>
      <c r="B123" s="100"/>
      <c r="C123" s="100"/>
      <c r="D123" s="100"/>
      <c r="E123" s="100"/>
      <c r="F123" s="100"/>
      <c r="G123" s="100"/>
      <c r="H123" s="100"/>
      <c r="I123" s="100"/>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1:65" x14ac:dyDescent="0.2">
      <c r="A124" s="2"/>
      <c r="B124" t="s">
        <v>221</v>
      </c>
      <c r="C124" s="100"/>
      <c r="D124" s="100"/>
      <c r="E124" s="100"/>
      <c r="F124" s="100"/>
      <c r="G124" s="100"/>
      <c r="H124" s="100"/>
      <c r="I124" s="100"/>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1:65" x14ac:dyDescent="0.2">
      <c r="A125" s="2"/>
      <c r="B125" s="623"/>
      <c r="C125" s="100"/>
      <c r="D125" s="100"/>
      <c r="E125" s="100"/>
      <c r="F125" s="100"/>
      <c r="G125" s="100"/>
      <c r="H125" s="100"/>
      <c r="I125" s="100"/>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1:65" x14ac:dyDescent="0.2">
      <c r="A126" s="2"/>
      <c r="B126" s="100"/>
      <c r="C126" s="100"/>
      <c r="D126" s="100"/>
      <c r="E126" s="100"/>
      <c r="F126" s="100"/>
      <c r="G126" s="100"/>
      <c r="H126" s="100"/>
      <c r="I126" s="100"/>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1:65" x14ac:dyDescent="0.2">
      <c r="A127" s="2"/>
      <c r="B127" s="100"/>
      <c r="C127" s="100"/>
      <c r="D127" s="100"/>
      <c r="E127" s="100"/>
      <c r="F127" s="100"/>
      <c r="G127" s="100"/>
      <c r="H127" s="100"/>
      <c r="I127" s="100"/>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1:65" x14ac:dyDescent="0.2">
      <c r="A128" s="2"/>
      <c r="B128" s="100"/>
      <c r="C128" s="100"/>
      <c r="D128" s="100"/>
      <c r="E128" s="100"/>
      <c r="F128" s="100"/>
      <c r="G128" s="100"/>
      <c r="H128" s="100"/>
      <c r="I128" s="100"/>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1:65" x14ac:dyDescent="0.2">
      <c r="A129" s="2"/>
      <c r="B129" s="100"/>
      <c r="C129" s="100"/>
      <c r="D129" s="100"/>
      <c r="E129" s="100"/>
      <c r="F129" s="100"/>
      <c r="G129" s="100"/>
      <c r="H129" s="100"/>
      <c r="I129" s="100"/>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1:65" x14ac:dyDescent="0.2">
      <c r="A130" s="2"/>
      <c r="B130" s="100"/>
      <c r="C130" s="100"/>
      <c r="D130" s="100"/>
      <c r="E130" s="100"/>
      <c r="F130" s="100"/>
      <c r="G130" s="100"/>
      <c r="H130" s="100"/>
      <c r="I130" s="100"/>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sheetData>
  <mergeCells count="8">
    <mergeCell ref="B84:I85"/>
    <mergeCell ref="B97:I98"/>
    <mergeCell ref="B108:I118"/>
    <mergeCell ref="F7:G7"/>
    <mergeCell ref="B34:I36"/>
    <mergeCell ref="B59:I61"/>
    <mergeCell ref="C65:F65"/>
    <mergeCell ref="C41:F41"/>
  </mergeCells>
  <phoneticPr fontId="55" type="noConversion"/>
  <pageMargins left="0.7" right="0.7" top="0.75" bottom="0.75" header="0.3" footer="0.3"/>
  <pageSetup scale="78" fitToHeight="3"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D00AA-0A78-2349-9DE5-2DECC78A4750}">
  <sheetPr codeName="Sheet5"/>
  <dimension ref="A1:BM111"/>
  <sheetViews>
    <sheetView showGridLines="0" zoomScale="120" zoomScaleNormal="120" workbookViewId="0"/>
  </sheetViews>
  <sheetFormatPr baseColWidth="10" defaultColWidth="10.83203125" defaultRowHeight="16" x14ac:dyDescent="0.2"/>
  <cols>
    <col min="1" max="1" width="10.83203125" style="1"/>
    <col min="2" max="2" width="10.83203125" style="1" customWidth="1"/>
    <col min="3" max="3" width="11.33203125" style="1" customWidth="1"/>
    <col min="4" max="5" width="10.83203125" style="1"/>
    <col min="6" max="6" width="10.83203125" style="1" customWidth="1"/>
    <col min="7" max="9" width="10.83203125" style="1"/>
    <col min="10" max="10" width="10.83203125" style="1" customWidth="1"/>
    <col min="11" max="16384" width="10.83203125" style="1"/>
  </cols>
  <sheetData>
    <row r="1" spans="1:10" ht="19" x14ac:dyDescent="0.25">
      <c r="A1" s="29" t="s">
        <v>251</v>
      </c>
      <c r="B1" s="25"/>
      <c r="C1" s="25"/>
      <c r="D1" s="25"/>
      <c r="E1" s="25"/>
      <c r="F1" s="25"/>
      <c r="G1" s="25"/>
      <c r="H1" s="25"/>
      <c r="I1" s="25"/>
      <c r="J1" s="22"/>
    </row>
    <row r="2" spans="1:10" x14ac:dyDescent="0.2">
      <c r="A2" s="24"/>
      <c r="B2" s="25"/>
      <c r="C2" s="25"/>
      <c r="D2" s="25"/>
      <c r="E2" s="25"/>
      <c r="F2" s="25"/>
      <c r="G2" s="25"/>
      <c r="H2" s="25"/>
      <c r="I2" s="25"/>
      <c r="J2" s="22"/>
    </row>
    <row r="3" spans="1:10" x14ac:dyDescent="0.2">
      <c r="A3" s="24"/>
      <c r="B3" s="28" t="s">
        <v>11</v>
      </c>
      <c r="C3" s="25"/>
      <c r="D3" s="25"/>
      <c r="E3" s="25"/>
      <c r="F3" s="25"/>
      <c r="G3" s="25"/>
      <c r="H3" s="25"/>
      <c r="I3" s="25"/>
      <c r="J3" s="22"/>
    </row>
    <row r="4" spans="1:10" x14ac:dyDescent="0.2">
      <c r="A4" s="24"/>
      <c r="B4" s="654" t="s">
        <v>32</v>
      </c>
      <c r="C4" s="654"/>
      <c r="D4" s="654"/>
      <c r="E4" s="654"/>
      <c r="F4" s="654"/>
      <c r="G4" s="654"/>
      <c r="H4" s="654"/>
      <c r="I4" s="654"/>
      <c r="J4" s="22"/>
    </row>
    <row r="5" spans="1:10" x14ac:dyDescent="0.2">
      <c r="A5" s="24"/>
      <c r="B5" s="654"/>
      <c r="C5" s="654"/>
      <c r="D5" s="654"/>
      <c r="E5" s="654"/>
      <c r="F5" s="654"/>
      <c r="G5" s="654"/>
      <c r="H5" s="654"/>
      <c r="I5" s="654"/>
      <c r="J5" s="22"/>
    </row>
    <row r="6" spans="1:10" x14ac:dyDescent="0.2">
      <c r="A6" s="24"/>
      <c r="B6" s="25"/>
      <c r="C6" s="25"/>
      <c r="D6" s="25"/>
      <c r="E6" s="25"/>
      <c r="F6" s="25"/>
      <c r="G6" s="25"/>
      <c r="H6" s="25"/>
      <c r="I6" s="25"/>
      <c r="J6" s="22"/>
    </row>
    <row r="7" spans="1:10" x14ac:dyDescent="0.2">
      <c r="A7" s="24"/>
      <c r="B7" s="25" t="s">
        <v>13</v>
      </c>
      <c r="C7" s="25"/>
      <c r="D7" s="25"/>
      <c r="E7" s="25"/>
      <c r="F7" s="25"/>
      <c r="G7" s="25"/>
      <c r="H7" s="25"/>
      <c r="I7" s="25"/>
      <c r="J7" s="22"/>
    </row>
    <row r="8" spans="1:10" x14ac:dyDescent="0.2">
      <c r="A8" s="24"/>
      <c r="B8" s="25"/>
      <c r="C8" s="25"/>
      <c r="D8" s="25"/>
      <c r="E8" s="25"/>
      <c r="F8" s="25"/>
      <c r="G8" s="25"/>
      <c r="H8" s="25"/>
      <c r="I8" s="25"/>
      <c r="J8" s="22"/>
    </row>
    <row r="9" spans="1:10" ht="34" x14ac:dyDescent="0.2">
      <c r="A9" s="24"/>
      <c r="B9" s="655" t="s">
        <v>14</v>
      </c>
      <c r="C9" s="656"/>
      <c r="D9" s="513" t="s">
        <v>15</v>
      </c>
      <c r="E9" s="513" t="s">
        <v>16</v>
      </c>
      <c r="F9" s="513" t="s">
        <v>17</v>
      </c>
      <c r="G9" s="514" t="s">
        <v>18</v>
      </c>
      <c r="H9" s="25"/>
      <c r="I9" s="25"/>
      <c r="J9" s="22"/>
    </row>
    <row r="10" spans="1:10" x14ac:dyDescent="0.2">
      <c r="A10" s="24"/>
      <c r="B10" s="657" t="s">
        <v>33</v>
      </c>
      <c r="C10" s="658"/>
      <c r="D10" s="26">
        <v>129</v>
      </c>
      <c r="E10" s="26">
        <v>774</v>
      </c>
      <c r="F10" s="556" t="s">
        <v>20</v>
      </c>
      <c r="G10" s="557" t="s">
        <v>21</v>
      </c>
      <c r="H10" s="25"/>
      <c r="I10" s="25"/>
      <c r="J10" s="22"/>
    </row>
    <row r="11" spans="1:10" x14ac:dyDescent="0.2">
      <c r="A11" s="24"/>
      <c r="B11" s="659"/>
      <c r="C11" s="660"/>
      <c r="D11" s="26">
        <v>74</v>
      </c>
      <c r="E11" s="26">
        <v>296</v>
      </c>
      <c r="F11" s="556" t="s">
        <v>20</v>
      </c>
      <c r="G11" s="557" t="s">
        <v>22</v>
      </c>
      <c r="H11" s="25"/>
      <c r="I11" s="25"/>
      <c r="J11" s="22"/>
    </row>
    <row r="12" spans="1:10" x14ac:dyDescent="0.2">
      <c r="A12" s="24"/>
      <c r="B12" s="659"/>
      <c r="C12" s="660"/>
      <c r="D12" s="26">
        <v>68</v>
      </c>
      <c r="E12" s="26">
        <v>476</v>
      </c>
      <c r="F12" s="556" t="s">
        <v>23</v>
      </c>
      <c r="G12" s="557" t="s">
        <v>21</v>
      </c>
      <c r="H12" s="25"/>
      <c r="I12" s="25"/>
      <c r="J12" s="22"/>
    </row>
    <row r="13" spans="1:10" x14ac:dyDescent="0.2">
      <c r="A13" s="24"/>
      <c r="B13" s="661"/>
      <c r="C13" s="662"/>
      <c r="D13" s="31">
        <v>31</v>
      </c>
      <c r="E13" s="31">
        <v>155</v>
      </c>
      <c r="F13" s="30" t="s">
        <v>23</v>
      </c>
      <c r="G13" s="480" t="s">
        <v>22</v>
      </c>
      <c r="H13" s="25"/>
      <c r="I13" s="25"/>
      <c r="J13" s="22"/>
    </row>
    <row r="14" spans="1:10" x14ac:dyDescent="0.2">
      <c r="A14" s="24"/>
      <c r="B14" s="657" t="s">
        <v>19</v>
      </c>
      <c r="C14" s="658"/>
      <c r="D14" s="26">
        <v>133</v>
      </c>
      <c r="E14" s="26">
        <v>798</v>
      </c>
      <c r="F14" s="556" t="s">
        <v>20</v>
      </c>
      <c r="G14" s="557" t="s">
        <v>21</v>
      </c>
      <c r="H14" s="25"/>
      <c r="I14" s="25"/>
      <c r="J14" s="22"/>
    </row>
    <row r="15" spans="1:10" x14ac:dyDescent="0.2">
      <c r="A15" s="24"/>
      <c r="B15" s="659"/>
      <c r="C15" s="660"/>
      <c r="D15" s="26">
        <v>78</v>
      </c>
      <c r="E15" s="26">
        <v>390</v>
      </c>
      <c r="F15" s="556" t="s">
        <v>20</v>
      </c>
      <c r="G15" s="557" t="s">
        <v>22</v>
      </c>
      <c r="H15" s="25"/>
      <c r="I15" s="25"/>
      <c r="J15" s="22"/>
    </row>
    <row r="16" spans="1:10" x14ac:dyDescent="0.2">
      <c r="A16" s="24"/>
      <c r="B16" s="659"/>
      <c r="C16" s="660"/>
      <c r="D16" s="26">
        <v>76</v>
      </c>
      <c r="E16" s="26">
        <v>456</v>
      </c>
      <c r="F16" s="556" t="s">
        <v>23</v>
      </c>
      <c r="G16" s="557" t="s">
        <v>21</v>
      </c>
      <c r="H16" s="25"/>
      <c r="I16" s="25"/>
      <c r="J16" s="22"/>
    </row>
    <row r="17" spans="1:10" x14ac:dyDescent="0.2">
      <c r="A17" s="24"/>
      <c r="B17" s="661"/>
      <c r="C17" s="662"/>
      <c r="D17" s="31">
        <v>35</v>
      </c>
      <c r="E17" s="31">
        <v>210</v>
      </c>
      <c r="F17" s="30" t="s">
        <v>23</v>
      </c>
      <c r="G17" s="480" t="s">
        <v>22</v>
      </c>
      <c r="H17" s="25"/>
      <c r="I17" s="25"/>
      <c r="J17" s="22"/>
    </row>
    <row r="18" spans="1:10" x14ac:dyDescent="0.2">
      <c r="A18" s="24"/>
      <c r="B18" s="25"/>
      <c r="C18" s="26"/>
      <c r="D18" s="26"/>
      <c r="E18" s="26"/>
      <c r="F18" s="25"/>
      <c r="G18" s="25"/>
      <c r="H18" s="25"/>
      <c r="I18" s="25"/>
      <c r="J18" s="22"/>
    </row>
    <row r="19" spans="1:10" x14ac:dyDescent="0.2">
      <c r="A19" s="24"/>
      <c r="B19" s="25" t="s">
        <v>34</v>
      </c>
      <c r="C19" s="26"/>
      <c r="D19" s="26"/>
      <c r="E19" s="26"/>
      <c r="F19" s="25"/>
      <c r="G19" s="25"/>
      <c r="H19" s="25"/>
      <c r="I19" s="25"/>
      <c r="J19" s="22"/>
    </row>
    <row r="20" spans="1:10" x14ac:dyDescent="0.2">
      <c r="A20" s="24"/>
      <c r="B20" s="25"/>
      <c r="C20" s="26"/>
      <c r="D20" s="26"/>
      <c r="E20" s="26"/>
      <c r="F20" s="26"/>
      <c r="G20" s="26"/>
      <c r="H20" s="25"/>
      <c r="I20" s="25"/>
      <c r="J20" s="22"/>
    </row>
    <row r="21" spans="1:10" x14ac:dyDescent="0.2">
      <c r="A21" s="24"/>
      <c r="B21" s="25"/>
      <c r="C21" s="26"/>
      <c r="D21" s="26"/>
      <c r="E21" s="26"/>
      <c r="F21" s="26"/>
      <c r="G21" s="26"/>
      <c r="H21" s="25"/>
      <c r="I21" s="25"/>
      <c r="J21" s="22"/>
    </row>
    <row r="22" spans="1:10" x14ac:dyDescent="0.2">
      <c r="A22" s="24"/>
      <c r="B22" s="25"/>
      <c r="C22" s="26"/>
      <c r="D22" s="26"/>
      <c r="E22" s="26"/>
      <c r="F22" s="26"/>
      <c r="G22" s="26"/>
      <c r="H22" s="25"/>
      <c r="I22" s="25"/>
      <c r="J22" s="22"/>
    </row>
    <row r="23" spans="1:10" x14ac:dyDescent="0.2">
      <c r="A23" s="24"/>
      <c r="B23" s="583" t="s">
        <v>527</v>
      </c>
      <c r="C23" s="26"/>
      <c r="D23" s="27">
        <v>350</v>
      </c>
      <c r="E23" s="26"/>
      <c r="F23" s="26"/>
      <c r="G23" s="26"/>
      <c r="H23" s="25"/>
      <c r="I23" s="25"/>
      <c r="J23" s="22"/>
    </row>
    <row r="24" spans="1:10" x14ac:dyDescent="0.2">
      <c r="A24" s="24"/>
      <c r="B24" s="583" t="s">
        <v>528</v>
      </c>
      <c r="C24" s="26"/>
      <c r="D24" s="27">
        <v>200</v>
      </c>
      <c r="E24" s="44" t="s">
        <v>31</v>
      </c>
      <c r="F24" s="25"/>
      <c r="G24" s="25"/>
      <c r="H24" s="25"/>
      <c r="I24" s="25"/>
      <c r="J24" s="22"/>
    </row>
    <row r="25" spans="1:10" x14ac:dyDescent="0.2">
      <c r="A25" s="24"/>
      <c r="B25" s="25"/>
      <c r="C25" s="26"/>
      <c r="D25" s="26"/>
      <c r="E25" s="26"/>
      <c r="F25" s="25"/>
      <c r="G25" s="25"/>
      <c r="H25" s="25"/>
      <c r="I25" s="25"/>
      <c r="J25" s="22"/>
    </row>
    <row r="26" spans="1:10" ht="34" x14ac:dyDescent="0.2">
      <c r="A26" s="24"/>
      <c r="B26" s="25"/>
      <c r="C26" s="512" t="s">
        <v>17</v>
      </c>
      <c r="D26" s="514" t="s">
        <v>24</v>
      </c>
      <c r="E26" s="26"/>
      <c r="F26" s="512" t="s">
        <v>18</v>
      </c>
      <c r="G26" s="514" t="s">
        <v>24</v>
      </c>
      <c r="H26" s="25"/>
      <c r="I26" s="25"/>
      <c r="J26" s="22"/>
    </row>
    <row r="27" spans="1:10" x14ac:dyDescent="0.2">
      <c r="A27" s="24"/>
      <c r="B27" s="25"/>
      <c r="C27" s="558" t="s">
        <v>20</v>
      </c>
      <c r="D27" s="559">
        <v>1</v>
      </c>
      <c r="E27" s="26"/>
      <c r="F27" s="558" t="s">
        <v>21</v>
      </c>
      <c r="G27" s="559">
        <v>1</v>
      </c>
      <c r="H27" s="25"/>
      <c r="I27" s="25"/>
      <c r="J27" s="22"/>
    </row>
    <row r="28" spans="1:10" x14ac:dyDescent="0.2">
      <c r="A28" s="24"/>
      <c r="B28" s="25"/>
      <c r="C28" s="515" t="s">
        <v>23</v>
      </c>
      <c r="D28" s="560">
        <v>1.43</v>
      </c>
      <c r="E28" s="26"/>
      <c r="F28" s="515" t="s">
        <v>22</v>
      </c>
      <c r="G28" s="560">
        <v>0.78</v>
      </c>
      <c r="H28" s="25"/>
      <c r="I28" s="25"/>
      <c r="J28" s="22"/>
    </row>
    <row r="29" spans="1:10" x14ac:dyDescent="0.2">
      <c r="A29" s="24"/>
      <c r="B29" s="25"/>
      <c r="C29" s="26"/>
      <c r="D29" s="26"/>
      <c r="E29" s="26"/>
      <c r="F29" s="25"/>
      <c r="G29" s="25"/>
      <c r="H29" s="25"/>
      <c r="I29" s="25"/>
      <c r="J29" s="22"/>
    </row>
    <row r="30" spans="1:10" ht="16" customHeight="1" x14ac:dyDescent="0.2">
      <c r="A30" s="24"/>
      <c r="B30" s="32" t="s">
        <v>42</v>
      </c>
      <c r="C30" s="23"/>
      <c r="D30" s="23"/>
      <c r="E30" s="23"/>
      <c r="F30" s="23"/>
      <c r="G30" s="23"/>
      <c r="H30" s="23"/>
      <c r="I30" s="23"/>
      <c r="J30" s="22"/>
    </row>
    <row r="31" spans="1:10" ht="17" thickBot="1" x14ac:dyDescent="0.25">
      <c r="A31" s="21"/>
      <c r="B31" s="19"/>
      <c r="C31" s="20"/>
      <c r="D31" s="20"/>
      <c r="E31" s="20"/>
      <c r="F31" s="19"/>
      <c r="G31" s="19"/>
      <c r="H31" s="19"/>
      <c r="I31" s="19"/>
      <c r="J31" s="18"/>
    </row>
    <row r="32" spans="1:10" x14ac:dyDescent="0.2">
      <c r="A32" s="3"/>
      <c r="B32" s="3"/>
      <c r="C32" s="3"/>
      <c r="D32" s="3"/>
      <c r="E32" s="3"/>
      <c r="F32" s="3"/>
      <c r="G32" s="3"/>
      <c r="H32" s="3"/>
      <c r="I32" s="3"/>
    </row>
    <row r="33" spans="1:9" ht="19" x14ac:dyDescent="0.25">
      <c r="A33" s="4" t="s">
        <v>9</v>
      </c>
      <c r="B33" s="3"/>
      <c r="C33" s="3"/>
      <c r="D33" s="3"/>
      <c r="E33" s="3"/>
      <c r="F33" s="3"/>
      <c r="G33" s="3"/>
      <c r="H33" s="3"/>
      <c r="I33" s="3"/>
    </row>
    <row r="34" spans="1:9" x14ac:dyDescent="0.2">
      <c r="A34" s="8" t="s">
        <v>25</v>
      </c>
      <c r="B34" s="3"/>
      <c r="C34" s="36"/>
      <c r="D34" s="3"/>
      <c r="E34" s="3"/>
      <c r="F34" s="3"/>
      <c r="G34" s="3"/>
      <c r="H34" s="3"/>
      <c r="I34" s="3"/>
    </row>
    <row r="35" spans="1:9" ht="16" customHeight="1" x14ac:dyDescent="0.25">
      <c r="A35" s="37"/>
      <c r="B35" s="632" t="s">
        <v>35</v>
      </c>
      <c r="C35" s="632"/>
      <c r="D35" s="632"/>
      <c r="E35" s="632"/>
      <c r="F35" s="632"/>
      <c r="G35" s="632"/>
      <c r="H35" s="632"/>
      <c r="I35" s="632"/>
    </row>
    <row r="36" spans="1:9" ht="16" customHeight="1" x14ac:dyDescent="0.25">
      <c r="A36" s="38"/>
      <c r="B36" s="632"/>
      <c r="C36" s="632"/>
      <c r="D36" s="632"/>
      <c r="E36" s="632"/>
      <c r="F36" s="632"/>
      <c r="G36" s="632"/>
      <c r="H36" s="632"/>
      <c r="I36" s="632"/>
    </row>
    <row r="37" spans="1:9" ht="16" customHeight="1" x14ac:dyDescent="0.25">
      <c r="A37" s="38"/>
      <c r="B37" s="3"/>
      <c r="C37" s="3"/>
      <c r="D37" s="3"/>
      <c r="E37" s="3"/>
      <c r="F37" s="3"/>
      <c r="G37" s="3"/>
      <c r="H37" s="3"/>
      <c r="I37" s="3"/>
    </row>
    <row r="38" spans="1:9" ht="16" customHeight="1" x14ac:dyDescent="0.25">
      <c r="A38" s="38"/>
      <c r="B38" s="3"/>
      <c r="C38" s="3"/>
      <c r="D38" s="3"/>
      <c r="E38" s="3"/>
      <c r="F38" s="3"/>
      <c r="G38" s="3"/>
      <c r="H38" s="3"/>
      <c r="I38" s="3"/>
    </row>
    <row r="39" spans="1:9" ht="16" customHeight="1" x14ac:dyDescent="0.25">
      <c r="A39" s="38"/>
      <c r="B39" s="3"/>
      <c r="C39" s="3"/>
      <c r="D39" s="3"/>
      <c r="E39" s="3"/>
      <c r="F39" s="3"/>
      <c r="G39" s="3"/>
      <c r="H39" s="3"/>
      <c r="I39" s="3"/>
    </row>
    <row r="40" spans="1:9" ht="16" customHeight="1" x14ac:dyDescent="0.25">
      <c r="A40" s="38"/>
      <c r="B40" s="3"/>
      <c r="C40" s="3"/>
      <c r="D40" s="3"/>
      <c r="E40" s="3"/>
      <c r="F40" s="3"/>
      <c r="G40" s="3"/>
      <c r="H40" s="3"/>
      <c r="I40" s="3"/>
    </row>
    <row r="41" spans="1:9" ht="16" customHeight="1" x14ac:dyDescent="0.25">
      <c r="A41" s="38"/>
      <c r="B41" s="3"/>
      <c r="C41" s="47" t="s">
        <v>36</v>
      </c>
      <c r="D41" s="3"/>
      <c r="E41" s="3"/>
      <c r="F41" s="3"/>
      <c r="G41" s="3"/>
      <c r="H41" s="3"/>
      <c r="I41" s="3"/>
    </row>
    <row r="42" spans="1:9" ht="16" customHeight="1" x14ac:dyDescent="0.25">
      <c r="A42" s="38"/>
      <c r="B42" s="3"/>
      <c r="C42" s="48" t="s">
        <v>41</v>
      </c>
      <c r="D42" s="3"/>
      <c r="E42" s="3"/>
      <c r="F42" s="3"/>
      <c r="G42" s="3"/>
      <c r="H42" s="3"/>
      <c r="I42" s="3"/>
    </row>
    <row r="43" spans="1:9" ht="16" customHeight="1" x14ac:dyDescent="0.25">
      <c r="A43" s="38"/>
      <c r="B43" s="3"/>
      <c r="C43" s="48" t="s">
        <v>40</v>
      </c>
      <c r="D43" s="3"/>
      <c r="E43" s="3"/>
      <c r="F43" s="3"/>
      <c r="G43" s="3"/>
      <c r="H43" s="3"/>
      <c r="I43" s="3"/>
    </row>
    <row r="44" spans="1:9" ht="16" customHeight="1" x14ac:dyDescent="0.25">
      <c r="A44" s="38"/>
      <c r="B44" s="3"/>
      <c r="C44" s="3"/>
      <c r="D44" s="3"/>
      <c r="E44" s="3"/>
      <c r="F44" s="3"/>
      <c r="G44" s="3"/>
      <c r="H44" s="3"/>
      <c r="I44" s="3"/>
    </row>
    <row r="45" spans="1:9" ht="35" x14ac:dyDescent="0.25">
      <c r="A45" s="38"/>
      <c r="B45" s="3"/>
      <c r="C45" s="33" t="s">
        <v>26</v>
      </c>
      <c r="D45" s="39" t="s">
        <v>17</v>
      </c>
      <c r="E45" s="39" t="s">
        <v>18</v>
      </c>
      <c r="F45" s="39" t="s">
        <v>37</v>
      </c>
      <c r="G45" s="3"/>
      <c r="H45" s="3"/>
      <c r="I45" s="3"/>
    </row>
    <row r="46" spans="1:9" ht="16" customHeight="1" x14ac:dyDescent="0.25">
      <c r="A46" s="38"/>
      <c r="B46" s="3"/>
      <c r="C46" s="43">
        <v>2021</v>
      </c>
      <c r="D46" s="40" t="s">
        <v>20</v>
      </c>
      <c r="E46" s="40" t="s">
        <v>21</v>
      </c>
      <c r="F46" s="45">
        <f>E10*$D$23*VLOOKUP(F10,$C$27:$D$28,2,FALSE)*VLOOKUP(G10,$F$27:$G$28,2,FALSE)+D10*$D$24</f>
        <v>296700</v>
      </c>
      <c r="G46" s="3"/>
      <c r="H46" s="3"/>
      <c r="I46" s="3"/>
    </row>
    <row r="47" spans="1:9" ht="16" customHeight="1" x14ac:dyDescent="0.25">
      <c r="A47" s="38"/>
      <c r="B47" s="3"/>
      <c r="C47" s="43">
        <v>2021</v>
      </c>
      <c r="D47" s="40" t="s">
        <v>20</v>
      </c>
      <c r="E47" s="40" t="s">
        <v>22</v>
      </c>
      <c r="F47" s="45">
        <f t="shared" ref="F47:F53" si="0">E11*$D$23*VLOOKUP(F11,$C$27:$D$28,2,FALSE)*VLOOKUP(G11,$F$27:$G$28,2,FALSE)+D11*$D$24</f>
        <v>95608</v>
      </c>
      <c r="G47" s="3"/>
      <c r="H47" s="3"/>
      <c r="I47" s="3"/>
    </row>
    <row r="48" spans="1:9" ht="16" customHeight="1" x14ac:dyDescent="0.25">
      <c r="A48" s="38"/>
      <c r="B48" s="3"/>
      <c r="C48" s="43">
        <v>2021</v>
      </c>
      <c r="D48" s="40" t="s">
        <v>23</v>
      </c>
      <c r="E48" s="40" t="s">
        <v>21</v>
      </c>
      <c r="F48" s="45">
        <f t="shared" si="0"/>
        <v>251838</v>
      </c>
      <c r="G48" s="3"/>
      <c r="H48" s="3"/>
      <c r="I48" s="3"/>
    </row>
    <row r="49" spans="1:12" ht="16" customHeight="1" x14ac:dyDescent="0.25">
      <c r="A49" s="38"/>
      <c r="B49" s="3"/>
      <c r="C49" s="42">
        <v>2021</v>
      </c>
      <c r="D49" s="41" t="s">
        <v>23</v>
      </c>
      <c r="E49" s="41" t="s">
        <v>22</v>
      </c>
      <c r="F49" s="46">
        <f t="shared" si="0"/>
        <v>66710.450000000012</v>
      </c>
      <c r="G49" s="3"/>
      <c r="H49" s="3"/>
      <c r="I49" s="3"/>
    </row>
    <row r="50" spans="1:12" ht="16" customHeight="1" x14ac:dyDescent="0.25">
      <c r="A50" s="38"/>
      <c r="B50" s="3"/>
      <c r="C50" s="43">
        <v>2022</v>
      </c>
      <c r="D50" s="40" t="s">
        <v>20</v>
      </c>
      <c r="E50" s="40" t="s">
        <v>21</v>
      </c>
      <c r="F50" s="45">
        <f t="shared" si="0"/>
        <v>305900</v>
      </c>
      <c r="G50" s="3"/>
      <c r="H50" s="3"/>
      <c r="I50" s="3"/>
    </row>
    <row r="51" spans="1:12" ht="16" customHeight="1" x14ac:dyDescent="0.25">
      <c r="A51" s="38"/>
      <c r="B51" s="3"/>
      <c r="C51" s="43">
        <v>2022</v>
      </c>
      <c r="D51" s="40" t="s">
        <v>20</v>
      </c>
      <c r="E51" s="40" t="s">
        <v>22</v>
      </c>
      <c r="F51" s="45">
        <f t="shared" si="0"/>
        <v>122070</v>
      </c>
      <c r="G51" s="3"/>
      <c r="H51" s="3"/>
      <c r="I51" s="3"/>
    </row>
    <row r="52" spans="1:12" ht="16" customHeight="1" x14ac:dyDescent="0.25">
      <c r="A52" s="38"/>
      <c r="B52" s="3"/>
      <c r="C52" s="43">
        <v>2022</v>
      </c>
      <c r="D52" s="40" t="s">
        <v>23</v>
      </c>
      <c r="E52" s="40" t="s">
        <v>21</v>
      </c>
      <c r="F52" s="45">
        <f t="shared" si="0"/>
        <v>243428</v>
      </c>
      <c r="G52" s="3"/>
      <c r="H52" s="3"/>
      <c r="I52" s="3"/>
      <c r="L52" s="2"/>
    </row>
    <row r="53" spans="1:12" ht="16" customHeight="1" x14ac:dyDescent="0.25">
      <c r="A53" s="38"/>
      <c r="C53" s="43">
        <v>2022</v>
      </c>
      <c r="D53" s="40" t="s">
        <v>23</v>
      </c>
      <c r="E53" s="40" t="s">
        <v>22</v>
      </c>
      <c r="F53" s="45">
        <f t="shared" si="0"/>
        <v>88981.900000000009</v>
      </c>
      <c r="G53" s="3"/>
      <c r="H53" s="3"/>
      <c r="I53" s="3"/>
      <c r="L53" s="2"/>
    </row>
    <row r="54" spans="1:12" ht="16" customHeight="1" x14ac:dyDescent="0.25">
      <c r="A54" s="38"/>
      <c r="B54" s="3"/>
      <c r="C54" s="3"/>
      <c r="D54" s="3"/>
      <c r="E54" s="3"/>
      <c r="F54" s="3"/>
      <c r="G54" s="3"/>
      <c r="H54" s="3"/>
      <c r="I54" s="3"/>
      <c r="L54" s="2"/>
    </row>
    <row r="55" spans="1:12" ht="16" customHeight="1" x14ac:dyDescent="0.25">
      <c r="A55" s="37"/>
      <c r="B55" s="7" t="s">
        <v>27</v>
      </c>
      <c r="C55" s="36"/>
      <c r="D55" s="3"/>
      <c r="E55" s="3"/>
      <c r="F55" s="3"/>
      <c r="G55" s="3"/>
      <c r="H55" s="3"/>
      <c r="I55" s="3"/>
    </row>
    <row r="56" spans="1:12" ht="16" customHeight="1" x14ac:dyDescent="0.25">
      <c r="A56" s="38"/>
      <c r="B56" s="3"/>
      <c r="C56" s="3"/>
      <c r="D56" s="3"/>
      <c r="E56" s="3"/>
      <c r="F56" s="3"/>
      <c r="G56" s="3"/>
      <c r="H56" s="3"/>
      <c r="I56" s="3"/>
    </row>
    <row r="57" spans="1:12" ht="19" x14ac:dyDescent="0.25">
      <c r="A57" s="38"/>
      <c r="B57" s="3"/>
      <c r="C57" s="47" t="s">
        <v>36</v>
      </c>
      <c r="H57" s="3"/>
      <c r="I57" s="3"/>
    </row>
    <row r="58" spans="1:12" ht="16" customHeight="1" x14ac:dyDescent="0.25">
      <c r="A58" s="38"/>
      <c r="B58" s="3"/>
      <c r="C58" s="48" t="s">
        <v>39</v>
      </c>
      <c r="H58" s="3"/>
      <c r="I58" s="3"/>
    </row>
    <row r="59" spans="1:12" ht="16" customHeight="1" x14ac:dyDescent="0.25">
      <c r="A59" s="38"/>
      <c r="B59" s="3"/>
      <c r="C59" s="48"/>
      <c r="H59" s="3"/>
      <c r="I59" s="3"/>
    </row>
    <row r="60" spans="1:12" ht="52" x14ac:dyDescent="0.25">
      <c r="A60" s="38"/>
      <c r="B60" s="3"/>
      <c r="C60" s="33" t="s">
        <v>28</v>
      </c>
      <c r="D60" s="39" t="s">
        <v>38</v>
      </c>
      <c r="G60" s="3"/>
      <c r="H60" s="3"/>
      <c r="I60" s="3"/>
    </row>
    <row r="61" spans="1:12" ht="16" customHeight="1" x14ac:dyDescent="0.25">
      <c r="A61" s="38"/>
      <c r="B61" s="3"/>
      <c r="C61" s="43">
        <v>2021</v>
      </c>
      <c r="D61" s="45">
        <f>SUMIF($C$46:$C$53,C61,$F$46:$F$53)</f>
        <v>710856.45</v>
      </c>
      <c r="E61" s="3"/>
      <c r="F61" s="3"/>
      <c r="G61" s="3"/>
      <c r="H61" s="3"/>
      <c r="I61" s="3"/>
    </row>
    <row r="62" spans="1:12" ht="16" customHeight="1" x14ac:dyDescent="0.25">
      <c r="A62" s="38"/>
      <c r="B62" s="3"/>
      <c r="C62" s="43">
        <v>2022</v>
      </c>
      <c r="D62" s="45">
        <f>SUMIF($C$46:$C$53,C62,$F$46:$F$53)</f>
        <v>760379.9</v>
      </c>
      <c r="E62" s="3"/>
      <c r="F62" s="3"/>
      <c r="G62" s="3"/>
      <c r="H62" s="3"/>
      <c r="I62" s="3"/>
    </row>
    <row r="63" spans="1:12" ht="16" customHeight="1" x14ac:dyDescent="0.25">
      <c r="A63" s="38"/>
      <c r="B63" s="3"/>
      <c r="C63" s="3"/>
      <c r="D63" s="3"/>
      <c r="E63" s="3"/>
      <c r="F63" s="3"/>
      <c r="G63" s="3"/>
      <c r="H63" s="3"/>
      <c r="I63" s="3"/>
      <c r="L63" s="2"/>
    </row>
    <row r="64" spans="1:12" ht="16" customHeight="1" x14ac:dyDescent="0.25">
      <c r="A64" s="37"/>
      <c r="B64" s="632" t="s">
        <v>29</v>
      </c>
      <c r="C64" s="632"/>
      <c r="D64" s="632"/>
      <c r="E64" s="632"/>
      <c r="F64" s="632"/>
      <c r="G64" s="632"/>
      <c r="H64" s="632"/>
      <c r="I64" s="632"/>
    </row>
    <row r="65" spans="1:14" ht="16" customHeight="1" x14ac:dyDescent="0.25">
      <c r="A65" s="37"/>
      <c r="B65" s="632"/>
      <c r="C65" s="632"/>
      <c r="D65" s="632"/>
      <c r="E65" s="632"/>
      <c r="F65" s="632"/>
      <c r="G65" s="632"/>
      <c r="H65" s="632"/>
      <c r="I65" s="632"/>
    </row>
    <row r="66" spans="1:14" ht="16" customHeight="1" x14ac:dyDescent="0.25">
      <c r="A66" s="37"/>
      <c r="B66" s="7"/>
      <c r="C66" s="36"/>
      <c r="D66" s="3"/>
      <c r="E66" s="3"/>
      <c r="F66" s="3"/>
      <c r="G66" s="3"/>
      <c r="H66" s="3"/>
      <c r="I66" s="3"/>
    </row>
    <row r="67" spans="1:14" ht="16" customHeight="1" x14ac:dyDescent="0.25">
      <c r="A67" s="37"/>
      <c r="B67" s="7"/>
      <c r="C67" s="36"/>
      <c r="D67" s="3"/>
      <c r="E67" s="3"/>
      <c r="F67" s="3"/>
      <c r="G67" s="3"/>
      <c r="H67" s="3"/>
      <c r="I67" s="3"/>
    </row>
    <row r="68" spans="1:14" ht="16" customHeight="1" x14ac:dyDescent="0.25">
      <c r="A68" s="37"/>
      <c r="B68" s="7"/>
      <c r="C68" s="36"/>
      <c r="D68" s="3"/>
      <c r="E68" s="3"/>
      <c r="F68" s="3"/>
      <c r="G68" s="3"/>
      <c r="H68" s="3"/>
      <c r="I68" s="3"/>
    </row>
    <row r="69" spans="1:14" ht="36" thickBot="1" x14ac:dyDescent="0.3">
      <c r="A69" s="38"/>
      <c r="B69" s="3"/>
      <c r="C69" s="33" t="s">
        <v>26</v>
      </c>
      <c r="D69" s="41" t="s">
        <v>43</v>
      </c>
      <c r="G69" s="3"/>
      <c r="H69" s="3"/>
      <c r="I69" s="3"/>
    </row>
    <row r="70" spans="1:14" ht="16" customHeight="1" thickBot="1" x14ac:dyDescent="0.3">
      <c r="A70" s="38"/>
      <c r="B70" s="3"/>
      <c r="C70" s="43">
        <v>2021</v>
      </c>
      <c r="D70" s="49">
        <f>1*1*0.5</f>
        <v>0.5</v>
      </c>
      <c r="F70" s="34" t="s">
        <v>30</v>
      </c>
      <c r="G70" s="404">
        <f>SUMPRODUCT(D70:D71,D61:D62)</f>
        <v>735618.17500000005</v>
      </c>
      <c r="H70" s="3"/>
      <c r="I70" s="3"/>
    </row>
    <row r="71" spans="1:14" ht="16" customHeight="1" x14ac:dyDescent="0.25">
      <c r="A71" s="38"/>
      <c r="B71" s="3"/>
      <c r="C71" s="43">
        <v>2022</v>
      </c>
      <c r="D71" s="49">
        <f>1-D70</f>
        <v>0.5</v>
      </c>
      <c r="G71" s="3"/>
      <c r="H71" s="3"/>
      <c r="I71" s="3"/>
    </row>
    <row r="72" spans="1:14" ht="16" customHeight="1" x14ac:dyDescent="0.25">
      <c r="A72" s="38"/>
      <c r="B72" s="3"/>
      <c r="C72" s="3"/>
      <c r="D72" s="3"/>
      <c r="G72" s="3"/>
      <c r="H72" s="3"/>
      <c r="I72" s="3"/>
    </row>
    <row r="73" spans="1:14" ht="16" customHeight="1" x14ac:dyDescent="0.25">
      <c r="A73" s="38"/>
      <c r="B73" s="664" t="s">
        <v>557</v>
      </c>
      <c r="C73" s="665"/>
      <c r="D73" s="665"/>
      <c r="E73" s="665"/>
      <c r="F73" s="665"/>
      <c r="G73" s="665"/>
      <c r="H73" s="665"/>
      <c r="I73" s="665"/>
      <c r="L73" s="2"/>
    </row>
    <row r="74" spans="1:14" ht="16" customHeight="1" x14ac:dyDescent="0.25">
      <c r="A74" s="38"/>
      <c r="B74" s="665"/>
      <c r="C74" s="665"/>
      <c r="D74" s="665"/>
      <c r="E74" s="665"/>
      <c r="F74" s="665"/>
      <c r="G74" s="665"/>
      <c r="H74" s="665"/>
      <c r="I74" s="665"/>
      <c r="L74" s="2"/>
    </row>
    <row r="76" spans="1:14" ht="19" x14ac:dyDescent="0.25">
      <c r="A76" s="4" t="s">
        <v>3</v>
      </c>
      <c r="B76" s="3"/>
      <c r="C76" s="3"/>
      <c r="D76" s="3"/>
      <c r="E76" s="3"/>
      <c r="F76" s="3"/>
      <c r="G76" s="3"/>
      <c r="H76" s="3"/>
      <c r="I76" s="3"/>
      <c r="L76" s="2"/>
      <c r="M76" s="2"/>
      <c r="N76" s="2"/>
    </row>
    <row r="77" spans="1:14" ht="16" customHeight="1" x14ac:dyDescent="0.2">
      <c r="A77" s="3"/>
      <c r="B77" s="650" t="s">
        <v>48</v>
      </c>
      <c r="C77" s="663"/>
      <c r="D77" s="663"/>
      <c r="E77" s="663"/>
      <c r="F77" s="663"/>
      <c r="G77" s="663"/>
      <c r="H77" s="663"/>
      <c r="I77" s="663"/>
      <c r="L77" s="2"/>
      <c r="M77" s="2"/>
      <c r="N77" s="2"/>
    </row>
    <row r="78" spans="1:14" x14ac:dyDescent="0.2">
      <c r="A78" s="3"/>
      <c r="B78" s="663"/>
      <c r="C78" s="663"/>
      <c r="D78" s="663"/>
      <c r="E78" s="663"/>
      <c r="F78" s="663"/>
      <c r="G78" s="663"/>
      <c r="H78" s="663"/>
      <c r="I78" s="663"/>
      <c r="L78" s="2"/>
      <c r="M78" s="2"/>
      <c r="N78" s="2"/>
    </row>
    <row r="79" spans="1:14" x14ac:dyDescent="0.2">
      <c r="A79" s="3"/>
      <c r="B79" s="663"/>
      <c r="C79" s="663"/>
      <c r="D79" s="663"/>
      <c r="E79" s="663"/>
      <c r="F79" s="663"/>
      <c r="G79" s="663"/>
      <c r="H79" s="663"/>
      <c r="I79" s="663"/>
      <c r="L79" s="2"/>
      <c r="M79" s="2"/>
      <c r="N79" s="2"/>
    </row>
    <row r="80" spans="1:14" x14ac:dyDescent="0.2">
      <c r="A80" s="3"/>
      <c r="B80" s="663"/>
      <c r="C80" s="663"/>
      <c r="D80" s="663"/>
      <c r="E80" s="663"/>
      <c r="F80" s="663"/>
      <c r="G80" s="663"/>
      <c r="H80" s="663"/>
      <c r="I80" s="663"/>
      <c r="L80" s="2"/>
      <c r="M80" s="2"/>
      <c r="N80" s="2"/>
    </row>
    <row r="81" spans="1:65" x14ac:dyDescent="0.2">
      <c r="A81" s="3"/>
      <c r="B81" s="50"/>
      <c r="C81" s="3"/>
      <c r="D81" s="3"/>
      <c r="E81" s="3"/>
      <c r="F81" s="3"/>
      <c r="G81" s="3"/>
      <c r="H81" s="3"/>
      <c r="I81" s="3"/>
      <c r="L81" s="2"/>
      <c r="M81" s="2"/>
      <c r="N81" s="2"/>
    </row>
    <row r="82" spans="1:65" ht="16" customHeight="1" x14ac:dyDescent="0.2">
      <c r="A82" s="2"/>
      <c r="B82" s="666" t="s">
        <v>45</v>
      </c>
      <c r="C82" s="667"/>
      <c r="D82" s="667"/>
      <c r="E82" s="667"/>
      <c r="F82" s="666" t="s">
        <v>46</v>
      </c>
      <c r="G82" s="667"/>
      <c r="H82" s="667"/>
      <c r="I82" s="667"/>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65" ht="67" customHeight="1" x14ac:dyDescent="0.2">
      <c r="A83" s="2"/>
      <c r="B83" s="663" t="s">
        <v>44</v>
      </c>
      <c r="C83" s="663"/>
      <c r="D83" s="663"/>
      <c r="E83" s="663"/>
      <c r="F83" s="663" t="s">
        <v>47</v>
      </c>
      <c r="G83" s="663"/>
      <c r="H83" s="663"/>
      <c r="I83" s="663"/>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1:65" x14ac:dyDescent="0.2">
      <c r="A84" s="2"/>
      <c r="B84" s="50"/>
      <c r="C84" s="35"/>
      <c r="D84" s="35"/>
      <c r="E84" s="35"/>
      <c r="F84" s="50"/>
      <c r="G84" s="35"/>
      <c r="H84" s="35"/>
      <c r="I84" s="35"/>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1:65" ht="19" x14ac:dyDescent="0.2">
      <c r="A85" s="2"/>
      <c r="B85" s="51" t="s">
        <v>49</v>
      </c>
      <c r="C85" s="35"/>
      <c r="D85" s="35"/>
      <c r="E85" s="35"/>
      <c r="F85" s="50"/>
      <c r="G85" s="35"/>
      <c r="H85" s="35"/>
      <c r="I85" s="35"/>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x14ac:dyDescent="0.2">
      <c r="A86" s="2"/>
      <c r="B86" s="50" t="s">
        <v>51</v>
      </c>
      <c r="C86" s="35"/>
      <c r="D86" s="35"/>
      <c r="E86" s="35"/>
      <c r="F86" s="50"/>
      <c r="G86" s="35"/>
      <c r="H86" s="35"/>
      <c r="I86" s="35"/>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1:65" x14ac:dyDescent="0.2">
      <c r="A87" s="2"/>
      <c r="B87" s="151" t="s">
        <v>53</v>
      </c>
      <c r="C87" s="35"/>
      <c r="D87" s="35"/>
      <c r="E87" s="35"/>
      <c r="F87" s="50"/>
      <c r="G87" s="35"/>
      <c r="H87" s="35"/>
      <c r="I87" s="35"/>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x14ac:dyDescent="0.2">
      <c r="A88" s="2"/>
      <c r="B88" s="50" t="s">
        <v>52</v>
      </c>
      <c r="C88" s="35"/>
      <c r="D88" s="35"/>
      <c r="E88" s="35"/>
      <c r="F88" s="50"/>
      <c r="G88" s="35"/>
      <c r="H88" s="35"/>
      <c r="I88" s="35"/>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x14ac:dyDescent="0.2">
      <c r="A89" s="2"/>
      <c r="B89" s="53" t="s">
        <v>54</v>
      </c>
      <c r="C89" s="35"/>
      <c r="D89" s="35"/>
      <c r="E89" s="35"/>
      <c r="F89" s="50"/>
      <c r="G89" s="35"/>
      <c r="H89" s="35"/>
      <c r="I89" s="35"/>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x14ac:dyDescent="0.2">
      <c r="A90" s="2"/>
      <c r="B90" s="50" t="s">
        <v>50</v>
      </c>
      <c r="C90" s="35"/>
      <c r="D90" s="35"/>
      <c r="E90" s="35"/>
      <c r="F90" s="50"/>
      <c r="G90" s="35"/>
      <c r="H90" s="35"/>
      <c r="I90" s="35"/>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x14ac:dyDescent="0.2">
      <c r="A91" s="2"/>
      <c r="B91" s="52" t="s">
        <v>55</v>
      </c>
      <c r="D91" s="3"/>
      <c r="E91" s="3"/>
      <c r="F91" s="3"/>
      <c r="G91" s="3"/>
      <c r="H91" s="3"/>
      <c r="I91" s="3"/>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x14ac:dyDescent="0.2">
      <c r="A92" s="2"/>
      <c r="B92" s="52"/>
      <c r="D92" s="3"/>
      <c r="E92" s="3"/>
      <c r="F92" s="3"/>
      <c r="G92" s="3"/>
      <c r="H92" s="3"/>
      <c r="I92" s="3"/>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9" x14ac:dyDescent="0.25">
      <c r="A93" s="4" t="s">
        <v>2</v>
      </c>
      <c r="B93" s="3"/>
      <c r="C93" s="3"/>
      <c r="D93" s="3"/>
      <c r="E93" s="3"/>
      <c r="F93" s="3"/>
      <c r="G93" s="3"/>
      <c r="H93" s="3"/>
      <c r="I93" s="3"/>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x14ac:dyDescent="0.2">
      <c r="A94" s="2"/>
      <c r="B94" s="663" t="s">
        <v>60</v>
      </c>
      <c r="C94" s="663"/>
      <c r="D94" s="663"/>
      <c r="E94" s="663"/>
      <c r="F94" s="663"/>
      <c r="G94" s="663"/>
      <c r="H94" s="663"/>
      <c r="I94" s="663"/>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x14ac:dyDescent="0.2">
      <c r="A95" s="2"/>
      <c r="B95" s="663"/>
      <c r="C95" s="663"/>
      <c r="D95" s="663"/>
      <c r="E95" s="663"/>
      <c r="F95" s="663"/>
      <c r="G95" s="663"/>
      <c r="H95" s="663"/>
      <c r="I95" s="663"/>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x14ac:dyDescent="0.2">
      <c r="A96" s="2"/>
      <c r="B96" s="663"/>
      <c r="C96" s="663"/>
      <c r="D96" s="663"/>
      <c r="E96" s="663"/>
      <c r="F96" s="663"/>
      <c r="G96" s="663"/>
      <c r="H96" s="663"/>
      <c r="I96" s="663"/>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x14ac:dyDescent="0.2">
      <c r="A97" s="2"/>
      <c r="B97" s="663"/>
      <c r="C97" s="663"/>
      <c r="D97" s="663"/>
      <c r="E97" s="663"/>
      <c r="F97" s="663"/>
      <c r="G97" s="663"/>
      <c r="H97" s="663"/>
      <c r="I97" s="663"/>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x14ac:dyDescent="0.2">
      <c r="A98" s="2"/>
      <c r="B98" s="663"/>
      <c r="C98" s="663"/>
      <c r="D98" s="663"/>
      <c r="E98" s="663"/>
      <c r="F98" s="663"/>
      <c r="G98" s="663"/>
      <c r="H98" s="663"/>
      <c r="I98" s="663"/>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x14ac:dyDescent="0.2">
      <c r="A99" s="2"/>
      <c r="B99" s="663"/>
      <c r="C99" s="663"/>
      <c r="D99" s="663"/>
      <c r="E99" s="663"/>
      <c r="F99" s="663"/>
      <c r="G99" s="663"/>
      <c r="H99" s="663"/>
      <c r="I99" s="663"/>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x14ac:dyDescent="0.2">
      <c r="A100" s="2"/>
      <c r="B100" s="3"/>
      <c r="C100" s="3"/>
      <c r="D100" s="3"/>
      <c r="E100" s="3"/>
      <c r="F100" s="3"/>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9" x14ac:dyDescent="0.25">
      <c r="A101" s="4" t="s">
        <v>1</v>
      </c>
      <c r="B101" s="3"/>
      <c r="C101" s="3"/>
      <c r="D101" s="3"/>
      <c r="E101" s="3"/>
      <c r="F101" s="3"/>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x14ac:dyDescent="0.2">
      <c r="A102" s="2"/>
      <c r="B102" s="71" t="s">
        <v>99</v>
      </c>
      <c r="C102" s="3"/>
      <c r="D102" s="3"/>
      <c r="E102" s="3"/>
      <c r="F102" s="3"/>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x14ac:dyDescent="0.2">
      <c r="A103" s="2"/>
      <c r="B103" s="3"/>
      <c r="C103" s="3"/>
      <c r="D103" s="3"/>
      <c r="E103" s="3"/>
      <c r="F103" s="3"/>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9" x14ac:dyDescent="0.25">
      <c r="A104" s="4" t="s">
        <v>0</v>
      </c>
      <c r="B104" s="3"/>
      <c r="C104" s="3"/>
      <c r="D104" s="3"/>
      <c r="E104" s="3"/>
      <c r="F104" s="3"/>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x14ac:dyDescent="0.2">
      <c r="A105" s="2"/>
      <c r="B105" t="s">
        <v>56</v>
      </c>
      <c r="C105" s="3"/>
      <c r="D105" s="3"/>
      <c r="E105" s="3"/>
      <c r="F105" s="3"/>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x14ac:dyDescent="0.2">
      <c r="A106" s="2"/>
      <c r="B106" t="s">
        <v>57</v>
      </c>
      <c r="C106" s="3"/>
      <c r="D106" s="3"/>
      <c r="E106" s="3"/>
      <c r="F106" s="3"/>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1:65" x14ac:dyDescent="0.2">
      <c r="A107" s="2"/>
      <c r="B107" t="s">
        <v>58</v>
      </c>
      <c r="C107" s="3"/>
      <c r="D107" s="3"/>
      <c r="E107" s="3"/>
      <c r="F107" s="3"/>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1:65" x14ac:dyDescent="0.2">
      <c r="A108" s="2"/>
      <c r="B108" t="s">
        <v>59</v>
      </c>
      <c r="C108" s="3"/>
      <c r="D108" s="3"/>
      <c r="E108" s="3"/>
      <c r="F108" s="3"/>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1:65" x14ac:dyDescent="0.2">
      <c r="A109" s="2"/>
      <c r="B109" s="3"/>
      <c r="C109" s="3"/>
      <c r="D109" s="3"/>
      <c r="E109" s="3"/>
      <c r="F109" s="3"/>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1:65" x14ac:dyDescent="0.2">
      <c r="A110" s="2"/>
      <c r="B110" s="3"/>
      <c r="C110" s="3"/>
      <c r="D110" s="3"/>
      <c r="E110" s="3"/>
      <c r="F110" s="3"/>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65" x14ac:dyDescent="0.2">
      <c r="A111" s="2"/>
      <c r="B111" s="3"/>
      <c r="C111" s="3"/>
      <c r="D111" s="3"/>
      <c r="E111" s="3"/>
      <c r="F111" s="3"/>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sheetData>
  <mergeCells count="13">
    <mergeCell ref="B77:I80"/>
    <mergeCell ref="B94:I99"/>
    <mergeCell ref="B73:I74"/>
    <mergeCell ref="F83:I83"/>
    <mergeCell ref="B83:E83"/>
    <mergeCell ref="B82:E82"/>
    <mergeCell ref="F82:I82"/>
    <mergeCell ref="B64:I65"/>
    <mergeCell ref="B4:I5"/>
    <mergeCell ref="B9:C9"/>
    <mergeCell ref="B10:C13"/>
    <mergeCell ref="B14:C17"/>
    <mergeCell ref="B35:I36"/>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8C55-ABC7-254B-B831-24178F08E83B}">
  <sheetPr codeName="Sheet6"/>
  <dimension ref="A1:BO242"/>
  <sheetViews>
    <sheetView showGridLines="0" zoomScale="120" zoomScaleNormal="120" workbookViewId="0"/>
  </sheetViews>
  <sheetFormatPr baseColWidth="10" defaultColWidth="10.83203125" defaultRowHeight="16" x14ac:dyDescent="0.2"/>
  <cols>
    <col min="1" max="1" width="10.83203125" style="1"/>
    <col min="2" max="3" width="10.83203125" style="1" customWidth="1"/>
    <col min="4" max="5" width="10.83203125" style="1"/>
    <col min="6" max="6" width="10.83203125" style="1" customWidth="1"/>
    <col min="7" max="7" width="11.1640625" style="1" customWidth="1"/>
    <col min="8" max="9" width="10.83203125" style="1"/>
    <col min="10" max="10" width="10.83203125" style="1" customWidth="1"/>
    <col min="11" max="16384" width="10.83203125" style="1"/>
  </cols>
  <sheetData>
    <row r="1" spans="1:49" ht="19" x14ac:dyDescent="0.25">
      <c r="A1" s="29" t="s">
        <v>249</v>
      </c>
      <c r="B1" s="98"/>
      <c r="C1" s="98"/>
      <c r="D1" s="98"/>
      <c r="E1" s="98"/>
      <c r="F1" s="98"/>
      <c r="G1" s="98"/>
      <c r="H1" s="98"/>
      <c r="I1" s="98"/>
      <c r="J1" s="99"/>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49" x14ac:dyDescent="0.2">
      <c r="A2" s="101"/>
      <c r="B2" s="98"/>
      <c r="C2" s="98"/>
      <c r="D2" s="98"/>
      <c r="E2" s="98"/>
      <c r="F2" s="98"/>
      <c r="G2" s="98"/>
      <c r="H2" s="98"/>
      <c r="I2" s="98"/>
      <c r="J2" s="99"/>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x14ac:dyDescent="0.2">
      <c r="A3" s="102"/>
      <c r="B3" s="28" t="s">
        <v>11</v>
      </c>
      <c r="C3" s="55"/>
      <c r="D3" s="55"/>
      <c r="E3" s="55"/>
      <c r="F3" s="55"/>
      <c r="G3" s="55"/>
      <c r="H3" s="98"/>
      <c r="I3" s="98"/>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row>
    <row r="4" spans="1:49" ht="16" customHeight="1" x14ac:dyDescent="0.2">
      <c r="A4" s="102"/>
      <c r="B4" s="57" t="s">
        <v>61</v>
      </c>
      <c r="C4" s="58"/>
      <c r="D4" s="58"/>
      <c r="E4" s="58"/>
      <c r="F4" s="58"/>
      <c r="G4" s="58"/>
      <c r="H4" s="103"/>
      <c r="I4" s="103"/>
      <c r="J4" s="99"/>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1:49" x14ac:dyDescent="0.2">
      <c r="A5" s="102"/>
      <c r="B5" s="55"/>
      <c r="C5" s="55"/>
      <c r="D5" s="55"/>
      <c r="E5" s="55"/>
      <c r="F5" s="55"/>
      <c r="G5" s="55"/>
      <c r="H5" s="98"/>
      <c r="I5" s="98"/>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x14ac:dyDescent="0.2">
      <c r="A6" s="102"/>
      <c r="B6" s="55"/>
      <c r="C6" s="652" t="s">
        <v>62</v>
      </c>
      <c r="D6" s="653"/>
      <c r="E6" s="55"/>
      <c r="F6" s="652" t="s">
        <v>63</v>
      </c>
      <c r="G6" s="653"/>
      <c r="H6" s="98"/>
      <c r="I6" s="98"/>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ht="46" customHeight="1" x14ac:dyDescent="0.2">
      <c r="A7" s="102"/>
      <c r="B7" s="55"/>
      <c r="C7" s="545" t="s">
        <v>28</v>
      </c>
      <c r="D7" s="506" t="s">
        <v>175</v>
      </c>
      <c r="E7" s="55"/>
      <c r="F7" s="545" t="s">
        <v>64</v>
      </c>
      <c r="G7" s="550" t="s">
        <v>65</v>
      </c>
      <c r="H7" s="98"/>
      <c r="I7" s="98"/>
      <c r="J7" s="99"/>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x14ac:dyDescent="0.2">
      <c r="A8" s="102"/>
      <c r="B8" s="55"/>
      <c r="C8" s="546">
        <v>2020</v>
      </c>
      <c r="D8" s="66">
        <v>870000</v>
      </c>
      <c r="E8" s="55"/>
      <c r="F8" s="551">
        <v>43922</v>
      </c>
      <c r="G8" s="552">
        <v>0.03</v>
      </c>
      <c r="H8" s="98"/>
      <c r="I8" s="98"/>
      <c r="J8" s="99"/>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49" x14ac:dyDescent="0.2">
      <c r="A9" s="102"/>
      <c r="B9" s="55"/>
      <c r="C9" s="547">
        <v>2021</v>
      </c>
      <c r="D9" s="66">
        <v>935000</v>
      </c>
      <c r="E9" s="55"/>
      <c r="F9" s="553">
        <v>44378</v>
      </c>
      <c r="G9" s="552">
        <v>0.12</v>
      </c>
      <c r="H9" s="98"/>
      <c r="I9" s="98"/>
      <c r="J9" s="99"/>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x14ac:dyDescent="0.2">
      <c r="A10" s="102"/>
      <c r="B10" s="55"/>
      <c r="C10" s="548">
        <v>2022</v>
      </c>
      <c r="D10" s="549">
        <v>980000</v>
      </c>
      <c r="E10" s="55"/>
      <c r="F10" s="554">
        <v>44743</v>
      </c>
      <c r="G10" s="555">
        <v>-0.02</v>
      </c>
      <c r="H10" s="98"/>
      <c r="I10" s="98"/>
      <c r="J10" s="99"/>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x14ac:dyDescent="0.2">
      <c r="A11" s="102"/>
      <c r="B11" s="55"/>
      <c r="C11" s="113"/>
      <c r="D11" s="59"/>
      <c r="E11" s="55"/>
      <c r="F11" s="67"/>
      <c r="G11" s="60"/>
      <c r="H11" s="98"/>
      <c r="I11" s="98"/>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x14ac:dyDescent="0.2">
      <c r="A12" s="102"/>
      <c r="B12" s="55" t="s">
        <v>66</v>
      </c>
      <c r="C12" s="59"/>
      <c r="D12" s="61"/>
      <c r="E12" s="59"/>
      <c r="F12" s="59"/>
      <c r="G12" s="59"/>
      <c r="H12" s="98"/>
      <c r="I12" s="98"/>
      <c r="J12" s="99"/>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x14ac:dyDescent="0.2">
      <c r="A13" s="102"/>
      <c r="B13" s="55" t="s">
        <v>67</v>
      </c>
      <c r="C13" s="59"/>
      <c r="D13" s="61"/>
      <c r="E13" s="59"/>
      <c r="F13" s="55"/>
      <c r="G13" s="55"/>
      <c r="H13" s="98"/>
      <c r="I13" s="98"/>
      <c r="J13" s="99"/>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x14ac:dyDescent="0.2">
      <c r="A14" s="102"/>
      <c r="B14" s="55"/>
      <c r="C14" s="59"/>
      <c r="D14" s="59"/>
      <c r="E14" s="59"/>
      <c r="F14" s="55"/>
      <c r="G14" s="55"/>
      <c r="H14" s="98"/>
      <c r="I14" s="98"/>
      <c r="J14" s="9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ht="16" customHeight="1" x14ac:dyDescent="0.2">
      <c r="A15" s="102" t="s">
        <v>80</v>
      </c>
      <c r="B15" s="62" t="s">
        <v>68</v>
      </c>
      <c r="C15" s="63"/>
      <c r="D15" s="63"/>
      <c r="E15" s="63"/>
      <c r="F15" s="63"/>
      <c r="G15" s="63"/>
      <c r="H15" s="107"/>
      <c r="I15" s="107"/>
      <c r="J15" s="99"/>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ht="16" customHeight="1" x14ac:dyDescent="0.2">
      <c r="A16" s="102"/>
      <c r="B16" s="62"/>
      <c r="C16" s="63"/>
      <c r="D16" s="63"/>
      <c r="E16" s="63"/>
      <c r="F16" s="63"/>
      <c r="G16" s="63"/>
      <c r="H16" s="107"/>
      <c r="I16" s="107"/>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ht="16" customHeight="1" x14ac:dyDescent="0.2">
      <c r="A17" s="102" t="s">
        <v>81</v>
      </c>
      <c r="B17" s="112" t="s">
        <v>151</v>
      </c>
      <c r="C17" s="63"/>
      <c r="D17" s="63"/>
      <c r="E17" s="63"/>
      <c r="F17" s="63"/>
      <c r="G17" s="63"/>
      <c r="H17" s="107"/>
      <c r="I17" s="107"/>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ht="17" thickBot="1" x14ac:dyDescent="0.25">
      <c r="A18" s="108"/>
      <c r="B18" s="109"/>
      <c r="C18" s="110"/>
      <c r="D18" s="110"/>
      <c r="E18" s="110"/>
      <c r="F18" s="109"/>
      <c r="G18" s="109"/>
      <c r="H18" s="109"/>
      <c r="I18" s="109"/>
      <c r="J18" s="111"/>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x14ac:dyDescent="0.2">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ht="19" x14ac:dyDescent="0.25">
      <c r="A20" s="4" t="s">
        <v>9</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ht="16" customHeight="1" x14ac:dyDescent="0.2">
      <c r="A21" s="8" t="s">
        <v>152</v>
      </c>
      <c r="B21" s="7"/>
      <c r="C21" s="7"/>
      <c r="D21" s="7"/>
      <c r="E21" s="7"/>
      <c r="F21" s="7"/>
      <c r="G21" s="7"/>
      <c r="H21" s="7"/>
      <c r="I21" s="7"/>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ht="16" customHeight="1" x14ac:dyDescent="0.2">
      <c r="A22" s="6" t="s">
        <v>8</v>
      </c>
      <c r="B22" s="632" t="s">
        <v>153</v>
      </c>
      <c r="C22" s="632"/>
      <c r="D22" s="632"/>
      <c r="E22" s="632"/>
      <c r="F22" s="632"/>
      <c r="G22" s="632"/>
      <c r="H22" s="632"/>
      <c r="I22" s="632"/>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ht="16" customHeight="1" x14ac:dyDescent="0.2">
      <c r="A23" s="6"/>
      <c r="B23" s="632"/>
      <c r="C23" s="632"/>
      <c r="D23" s="632"/>
      <c r="E23" s="632"/>
      <c r="F23" s="632"/>
      <c r="G23" s="632"/>
      <c r="H23" s="632"/>
      <c r="I23" s="632"/>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ht="16" customHeight="1" x14ac:dyDescent="0.2">
      <c r="A24" s="6"/>
      <c r="B24" s="100"/>
      <c r="C24" s="100"/>
      <c r="D24" s="100"/>
      <c r="E24" s="100"/>
      <c r="F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ht="16" customHeight="1" x14ac:dyDescent="0.2">
      <c r="A25" s="6"/>
      <c r="B25" s="100"/>
      <c r="C25" s="100"/>
      <c r="D25" s="100"/>
      <c r="E25" s="100"/>
      <c r="F25" s="100"/>
      <c r="G25" s="115" t="s">
        <v>157</v>
      </c>
      <c r="H25" s="114" t="s">
        <v>159</v>
      </c>
      <c r="I25" s="114" t="s">
        <v>162</v>
      </c>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ht="16" customHeight="1" x14ac:dyDescent="0.2">
      <c r="A26" s="6"/>
      <c r="B26" s="100"/>
      <c r="C26" s="100"/>
      <c r="D26" s="100"/>
      <c r="E26" s="100"/>
      <c r="F26" s="100"/>
      <c r="G26" s="17" t="s">
        <v>158</v>
      </c>
      <c r="H26" s="16" t="s">
        <v>160</v>
      </c>
      <c r="I26" s="15" t="s">
        <v>161</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ht="16" customHeight="1" x14ac:dyDescent="0.2">
      <c r="A27" s="6"/>
      <c r="B27" s="100"/>
      <c r="C27" s="100"/>
      <c r="D27" s="100"/>
      <c r="E27" s="100"/>
      <c r="F27" s="100"/>
      <c r="G27" s="13">
        <v>1</v>
      </c>
      <c r="H27" s="12" t="s">
        <v>163</v>
      </c>
      <c r="I27" s="117">
        <v>1</v>
      </c>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ht="16" customHeight="1" x14ac:dyDescent="0.2">
      <c r="A28" s="6"/>
      <c r="B28" s="100"/>
      <c r="F28" s="100"/>
      <c r="G28" s="11">
        <v>2</v>
      </c>
      <c r="H28" s="116">
        <f>F8</f>
        <v>43922</v>
      </c>
      <c r="I28" s="118">
        <f>I27*(1+G8)</f>
        <v>1.03</v>
      </c>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ht="16" customHeight="1" x14ac:dyDescent="0.2">
      <c r="A29" s="6"/>
      <c r="B29" s="100"/>
      <c r="F29" s="100"/>
      <c r="G29" s="11">
        <v>3</v>
      </c>
      <c r="H29" s="116">
        <f>F9</f>
        <v>44378</v>
      </c>
      <c r="I29" s="118">
        <f>I28*(1+G9)</f>
        <v>1.1536000000000002</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ht="16" customHeight="1" x14ac:dyDescent="0.2">
      <c r="A30" s="6"/>
      <c r="B30" s="100"/>
      <c r="F30" s="100"/>
      <c r="G30" s="11">
        <v>4</v>
      </c>
      <c r="H30" s="116">
        <f>F10</f>
        <v>44743</v>
      </c>
      <c r="I30" s="118">
        <f>I29*(1+G10)</f>
        <v>1.1305280000000002</v>
      </c>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ht="16" customHeight="1" x14ac:dyDescent="0.2">
      <c r="A31" s="6"/>
      <c r="B31" s="100"/>
      <c r="F31" s="9"/>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ht="16" customHeight="1" x14ac:dyDescent="0.2">
      <c r="A32" s="6" t="s">
        <v>7</v>
      </c>
      <c r="B32" s="632" t="s">
        <v>168</v>
      </c>
      <c r="C32" s="632"/>
      <c r="D32" s="632"/>
      <c r="E32" s="632"/>
      <c r="F32" s="632"/>
      <c r="G32" s="632"/>
      <c r="H32" s="632"/>
      <c r="I32" s="632"/>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ht="16" customHeight="1" x14ac:dyDescent="0.2">
      <c r="A33" s="6"/>
      <c r="B33" s="632"/>
      <c r="C33" s="632"/>
      <c r="D33" s="632"/>
      <c r="E33" s="632"/>
      <c r="F33" s="632"/>
      <c r="G33" s="632"/>
      <c r="H33" s="632"/>
      <c r="I33" s="632"/>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ht="16" customHeight="1" x14ac:dyDescent="0.2">
      <c r="A34" s="6"/>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ht="16" customHeight="1" x14ac:dyDescent="0.2">
      <c r="A35" s="6"/>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ht="16" customHeight="1" x14ac:dyDescent="0.2">
      <c r="A36" s="6"/>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ht="16" customHeight="1" x14ac:dyDescent="0.2">
      <c r="A37" s="6"/>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ht="16" customHeight="1" x14ac:dyDescent="0.2">
      <c r="A38" s="6"/>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ht="16" customHeight="1" x14ac:dyDescent="0.2">
      <c r="A39" s="6"/>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ht="16" customHeight="1" x14ac:dyDescent="0.2">
      <c r="A40" s="6"/>
      <c r="B40" s="100"/>
      <c r="C40" s="74"/>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ht="16" customHeight="1" x14ac:dyDescent="0.2">
      <c r="A41" s="6"/>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ht="16" customHeight="1" x14ac:dyDescent="0.2">
      <c r="A42" s="6"/>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3" spans="1:49" ht="16" customHeight="1" x14ac:dyDescent="0.2">
      <c r="A43" s="6"/>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row>
    <row r="44" spans="1:49" ht="16" customHeight="1" x14ac:dyDescent="0.2">
      <c r="A44" s="6"/>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49" ht="16" customHeight="1" x14ac:dyDescent="0.2">
      <c r="A45" s="6"/>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ht="16" customHeight="1" x14ac:dyDescent="0.2">
      <c r="A46" s="6"/>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ht="16" customHeight="1" x14ac:dyDescent="0.2">
      <c r="A47" s="6"/>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ht="16" customHeight="1" x14ac:dyDescent="0.2">
      <c r="A48" s="6"/>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ht="16" customHeight="1" x14ac:dyDescent="0.2">
      <c r="A49" s="6"/>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ht="16" customHeight="1" x14ac:dyDescent="0.2">
      <c r="A50" s="6"/>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ht="16" customHeight="1" x14ac:dyDescent="0.2">
      <c r="A51" s="6"/>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ht="16" customHeight="1" x14ac:dyDescent="0.2">
      <c r="A52" s="6" t="s">
        <v>6</v>
      </c>
      <c r="B52" s="7" t="s">
        <v>154</v>
      </c>
      <c r="C52" s="7"/>
      <c r="D52" s="7"/>
      <c r="E52" s="7"/>
      <c r="F52" s="7"/>
      <c r="G52" s="7"/>
      <c r="H52" s="7"/>
      <c r="I52" s="7"/>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ht="16" customHeight="1" x14ac:dyDescent="0.2">
      <c r="A53" s="6"/>
      <c r="B53" s="100"/>
      <c r="C53" s="100"/>
      <c r="D53" s="100"/>
      <c r="E53" s="100"/>
      <c r="F53" s="100"/>
      <c r="G53" s="100"/>
      <c r="H53" s="100"/>
      <c r="I53" s="7"/>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ht="16" customHeight="1" x14ac:dyDescent="0.2">
      <c r="A54" s="6"/>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ht="16" customHeight="1" x14ac:dyDescent="0.2">
      <c r="A55" s="6"/>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ht="16" customHeight="1" x14ac:dyDescent="0.2">
      <c r="A56" s="6"/>
      <c r="B56" s="7"/>
      <c r="C56" s="7"/>
      <c r="D56" s="7"/>
      <c r="E56" s="7"/>
      <c r="F56" s="7"/>
      <c r="G56" s="7"/>
      <c r="H56" s="7"/>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ht="16" customHeight="1" x14ac:dyDescent="0.2">
      <c r="A57" s="6"/>
      <c r="B57" s="140" t="s">
        <v>36</v>
      </c>
      <c r="C57" s="7"/>
      <c r="D57" s="7"/>
      <c r="E57" s="7"/>
      <c r="F57" s="7"/>
      <c r="G57" s="7"/>
      <c r="H57" s="7"/>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ht="16" customHeight="1" x14ac:dyDescent="0.2">
      <c r="A58" s="6"/>
      <c r="B58" s="138" t="s">
        <v>172</v>
      </c>
      <c r="C58" s="7"/>
      <c r="D58" s="7"/>
      <c r="E58" s="7"/>
      <c r="F58" s="7"/>
      <c r="G58" s="7"/>
      <c r="H58" s="7"/>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ht="16" customHeight="1" x14ac:dyDescent="0.2">
      <c r="A59" s="6"/>
      <c r="B59" s="7"/>
      <c r="C59" s="7"/>
      <c r="D59" s="7"/>
      <c r="E59" s="7"/>
      <c r="F59" s="7"/>
      <c r="G59" s="7"/>
      <c r="H59" s="7"/>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49" ht="16" customHeight="1" x14ac:dyDescent="0.2">
      <c r="A60" s="6"/>
      <c r="B60" s="100"/>
      <c r="C60" s="115" t="s">
        <v>164</v>
      </c>
      <c r="D60" s="668" t="s">
        <v>166</v>
      </c>
      <c r="E60" s="669"/>
      <c r="F60" s="669"/>
      <c r="G60" s="670"/>
      <c r="H60" s="114" t="s">
        <v>167</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ht="16" customHeight="1" x14ac:dyDescent="0.2">
      <c r="A61" s="6"/>
      <c r="B61" s="100"/>
      <c r="C61" s="121" t="s">
        <v>10</v>
      </c>
      <c r="D61" s="123">
        <v>1</v>
      </c>
      <c r="E61" s="124">
        <v>2</v>
      </c>
      <c r="F61" s="124">
        <v>3</v>
      </c>
      <c r="G61" s="125">
        <v>4</v>
      </c>
      <c r="H61" s="124" t="s">
        <v>165</v>
      </c>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ht="16" customHeight="1" x14ac:dyDescent="0.2">
      <c r="A62" s="6"/>
      <c r="B62" s="100"/>
      <c r="C62" s="119">
        <v>2020</v>
      </c>
      <c r="D62" s="130">
        <f>1-E62</f>
        <v>0.71875</v>
      </c>
      <c r="E62" s="131">
        <f>0.5*0.75^2</f>
        <v>0.28125</v>
      </c>
      <c r="F62" s="131"/>
      <c r="G62" s="132"/>
      <c r="H62" s="136">
        <f>SUMPRODUCT(D62:G62,$D$65:$G$65)</f>
        <v>1.0084374999999999</v>
      </c>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ht="16" customHeight="1" x14ac:dyDescent="0.2">
      <c r="A63" s="6"/>
      <c r="B63" s="100"/>
      <c r="C63" s="120">
        <v>2021</v>
      </c>
      <c r="D63" s="130">
        <f>0.5*0.25^2</f>
        <v>3.125E-2</v>
      </c>
      <c r="E63" s="131">
        <f>1-D63-F63</f>
        <v>0.84375</v>
      </c>
      <c r="F63" s="131">
        <f>0.5*0.5^2</f>
        <v>0.125</v>
      </c>
      <c r="G63" s="132"/>
      <c r="H63" s="136">
        <f>SUMPRODUCT(D63:G63,$D$65:$G$65)</f>
        <v>1.0445125000000002</v>
      </c>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ht="16" customHeight="1" x14ac:dyDescent="0.2">
      <c r="A64" s="6"/>
      <c r="B64" s="100"/>
      <c r="C64" s="129">
        <v>2022</v>
      </c>
      <c r="D64" s="133"/>
      <c r="E64" s="134">
        <f>0.5*0.5^2</f>
        <v>0.125</v>
      </c>
      <c r="F64" s="134">
        <f>1-E64-G64</f>
        <v>0.75</v>
      </c>
      <c r="G64" s="135">
        <f>0.5*0.5^2</f>
        <v>0.125</v>
      </c>
      <c r="H64" s="137">
        <f>SUMPRODUCT(D64:G64,$D$65:$G$65)</f>
        <v>1.1352660000000003</v>
      </c>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ht="16" customHeight="1" x14ac:dyDescent="0.2">
      <c r="A65" s="6"/>
      <c r="B65" s="100"/>
      <c r="C65" s="115" t="s">
        <v>165</v>
      </c>
      <c r="D65" s="126">
        <f>I27</f>
        <v>1</v>
      </c>
      <c r="E65" s="127">
        <f>I28</f>
        <v>1.03</v>
      </c>
      <c r="F65" s="127">
        <f>I29</f>
        <v>1.1536000000000002</v>
      </c>
      <c r="G65" s="128">
        <f>I30</f>
        <v>1.1305280000000002</v>
      </c>
      <c r="H65" s="114"/>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ht="16" customHeight="1" x14ac:dyDescent="0.2">
      <c r="A66" s="6"/>
      <c r="B66" s="100"/>
      <c r="C66" s="100"/>
      <c r="D66" s="100"/>
      <c r="E66" s="100"/>
      <c r="F66" s="100"/>
      <c r="G66" s="100"/>
      <c r="H66" s="100"/>
      <c r="I66" s="100"/>
      <c r="J66" s="100"/>
      <c r="K66" s="100"/>
      <c r="L66" s="2"/>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ht="16" customHeight="1" x14ac:dyDescent="0.2">
      <c r="A67" s="6"/>
      <c r="B67" s="7" t="s">
        <v>497</v>
      </c>
      <c r="C67" s="100"/>
      <c r="D67" s="100"/>
      <c r="E67" s="100"/>
      <c r="F67" s="100"/>
      <c r="G67" s="100"/>
      <c r="H67" s="100"/>
      <c r="I67" s="100"/>
      <c r="J67" s="100"/>
      <c r="K67" s="100"/>
      <c r="L67" s="2"/>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ht="16" customHeight="1" x14ac:dyDescent="0.2">
      <c r="A68" s="6"/>
      <c r="B68" s="100"/>
      <c r="C68" s="100"/>
      <c r="D68" s="100"/>
      <c r="E68" s="100"/>
      <c r="F68" s="100"/>
      <c r="G68" s="100"/>
      <c r="H68" s="100"/>
      <c r="I68" s="100"/>
      <c r="J68" s="100"/>
      <c r="K68" s="100"/>
      <c r="L68" s="2"/>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ht="16" customHeight="1" x14ac:dyDescent="0.2">
      <c r="A69" s="6" t="s">
        <v>5</v>
      </c>
      <c r="B69" s="632" t="s">
        <v>173</v>
      </c>
      <c r="C69" s="632"/>
      <c r="D69" s="632"/>
      <c r="E69" s="632"/>
      <c r="F69" s="632"/>
      <c r="G69" s="632"/>
      <c r="H69" s="632"/>
      <c r="I69" s="632"/>
      <c r="J69" s="100"/>
      <c r="K69" s="100"/>
      <c r="L69" s="2"/>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ht="16" customHeight="1" x14ac:dyDescent="0.2">
      <c r="A70" s="6"/>
      <c r="B70" s="632"/>
      <c r="C70" s="632"/>
      <c r="D70" s="632"/>
      <c r="E70" s="632"/>
      <c r="F70" s="632"/>
      <c r="G70" s="632"/>
      <c r="H70" s="632"/>
      <c r="I70" s="632"/>
      <c r="J70" s="100"/>
      <c r="K70" s="100"/>
      <c r="L70" s="2"/>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ht="16" customHeight="1" x14ac:dyDescent="0.2">
      <c r="A71" s="6"/>
      <c r="B71" s="100"/>
      <c r="C71" s="100"/>
      <c r="D71" s="100"/>
      <c r="E71" s="100"/>
      <c r="F71" s="100"/>
      <c r="G71" s="100"/>
      <c r="H71" s="100"/>
      <c r="I71" s="100"/>
      <c r="J71" s="100"/>
      <c r="K71" s="100"/>
      <c r="L71" s="2"/>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ht="16" customHeight="1" x14ac:dyDescent="0.2">
      <c r="A72" s="6"/>
      <c r="B72" s="100"/>
      <c r="C72" s="100"/>
      <c r="D72" s="100"/>
      <c r="E72" s="100"/>
      <c r="F72" s="100"/>
      <c r="G72" s="115" t="s">
        <v>164</v>
      </c>
      <c r="H72" s="122" t="s">
        <v>169</v>
      </c>
      <c r="I72" s="100"/>
      <c r="J72" s="100"/>
      <c r="K72" s="100"/>
      <c r="L72" s="2"/>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ht="16" customHeight="1" x14ac:dyDescent="0.2">
      <c r="A73" s="6"/>
      <c r="B73" s="100"/>
      <c r="C73" s="100"/>
      <c r="D73" s="100"/>
      <c r="E73" s="100"/>
      <c r="F73" s="100"/>
      <c r="G73" s="121" t="s">
        <v>10</v>
      </c>
      <c r="H73" s="123" t="s">
        <v>170</v>
      </c>
      <c r="I73" s="100"/>
      <c r="J73" s="100"/>
      <c r="K73" s="100"/>
      <c r="L73" s="2"/>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ht="16" customHeight="1" x14ac:dyDescent="0.2">
      <c r="A74" s="6"/>
      <c r="B74" s="100"/>
      <c r="C74" s="100"/>
      <c r="D74" s="100"/>
      <c r="E74"/>
      <c r="F74" s="100"/>
      <c r="G74" s="119">
        <v>2020</v>
      </c>
      <c r="H74" s="136">
        <f>$G$65/H62</f>
        <v>1.1210689804772238</v>
      </c>
      <c r="I74" s="100"/>
      <c r="J74" s="100"/>
      <c r="K74" s="100"/>
      <c r="L74" s="2"/>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ht="16" customHeight="1" x14ac:dyDescent="0.2">
      <c r="A75" s="6"/>
      <c r="B75" s="100"/>
      <c r="E75"/>
      <c r="F75" s="100"/>
      <c r="G75" s="120">
        <v>2021</v>
      </c>
      <c r="H75" s="136">
        <f t="shared" ref="H75:H76" si="0">$G$65/H63</f>
        <v>1.0823499000730006</v>
      </c>
      <c r="I75" s="100"/>
      <c r="J75" s="100"/>
      <c r="K75" s="100"/>
      <c r="L75" s="2"/>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ht="16" customHeight="1" x14ac:dyDescent="0.2">
      <c r="A76" s="6"/>
      <c r="B76" s="100"/>
      <c r="E76"/>
      <c r="F76" s="100"/>
      <c r="G76" s="120">
        <v>2022</v>
      </c>
      <c r="H76" s="136">
        <f t="shared" si="0"/>
        <v>0.99582652876066036</v>
      </c>
      <c r="I76" s="100"/>
      <c r="J76" s="100"/>
      <c r="K76" s="100"/>
      <c r="L76" s="2"/>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ht="16" customHeight="1" x14ac:dyDescent="0.2">
      <c r="A77" s="6"/>
      <c r="B77" s="100"/>
      <c r="E77"/>
      <c r="F77" s="100"/>
      <c r="G77" s="100"/>
      <c r="H77" s="100"/>
      <c r="I77" s="100"/>
      <c r="J77" s="100"/>
      <c r="K77" s="100"/>
      <c r="L77" s="2"/>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ht="16" customHeight="1" x14ac:dyDescent="0.2">
      <c r="A78" s="6"/>
      <c r="B78" s="632" t="s">
        <v>174</v>
      </c>
      <c r="C78" s="632"/>
      <c r="D78" s="632"/>
      <c r="E78" s="632"/>
      <c r="F78" s="632"/>
      <c r="G78" s="632"/>
      <c r="H78" s="632"/>
      <c r="I78" s="632"/>
      <c r="J78" s="100"/>
      <c r="K78" s="100"/>
      <c r="L78" s="2"/>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ht="16" customHeight="1" x14ac:dyDescent="0.2">
      <c r="A79" s="6"/>
      <c r="B79" s="632"/>
      <c r="C79" s="632"/>
      <c r="D79" s="632"/>
      <c r="E79" s="632"/>
      <c r="F79" s="632"/>
      <c r="G79" s="632"/>
      <c r="H79" s="632"/>
      <c r="I79" s="632"/>
      <c r="J79" s="100"/>
      <c r="K79" s="100"/>
      <c r="L79" s="2"/>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ht="16" customHeight="1" x14ac:dyDescent="0.2">
      <c r="A80" s="6"/>
      <c r="B80" s="100"/>
      <c r="C80" s="100"/>
      <c r="D80" s="100"/>
      <c r="E80"/>
      <c r="F80" s="100"/>
      <c r="G80" s="100"/>
      <c r="H80" s="100"/>
      <c r="I80" s="100"/>
      <c r="J80" s="100"/>
      <c r="K80" s="100"/>
      <c r="L80" s="2"/>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49" ht="16" customHeight="1" x14ac:dyDescent="0.2">
      <c r="A81" s="6" t="s">
        <v>4</v>
      </c>
      <c r="B81" s="632" t="s">
        <v>155</v>
      </c>
      <c r="C81" s="632"/>
      <c r="D81" s="632"/>
      <c r="E81" s="632"/>
      <c r="F81" s="632"/>
      <c r="G81" s="632"/>
      <c r="H81" s="632"/>
      <c r="I81" s="632"/>
      <c r="J81" s="100"/>
      <c r="K81" s="100"/>
      <c r="L81" s="2"/>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49" ht="16" customHeight="1" x14ac:dyDescent="0.2">
      <c r="A82" s="6"/>
      <c r="B82" s="632"/>
      <c r="C82" s="632"/>
      <c r="D82" s="632"/>
      <c r="E82" s="632"/>
      <c r="F82" s="632"/>
      <c r="G82" s="632"/>
      <c r="H82" s="632"/>
      <c r="I82" s="632"/>
      <c r="J82" s="100"/>
      <c r="K82" s="100"/>
      <c r="L82" s="2"/>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49" ht="16" customHeight="1" x14ac:dyDescent="0.2">
      <c r="A83" s="6"/>
      <c r="B83" s="100"/>
      <c r="C83" s="100"/>
      <c r="D83" s="100"/>
      <c r="E83" s="100"/>
      <c r="F83" s="100"/>
      <c r="G83" s="100"/>
      <c r="H83" s="100"/>
      <c r="I83" s="100"/>
      <c r="J83" s="100"/>
      <c r="K83" s="100"/>
      <c r="L83" s="2"/>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49" ht="16" customHeight="1" x14ac:dyDescent="0.2">
      <c r="A84" s="6"/>
      <c r="B84" s="100"/>
      <c r="C84" s="100"/>
      <c r="D84" s="100"/>
      <c r="E84" s="100"/>
      <c r="F84" s="100"/>
      <c r="G84" s="115" t="s">
        <v>164</v>
      </c>
      <c r="H84" s="114" t="s">
        <v>169</v>
      </c>
      <c r="I84" s="100"/>
      <c r="J84" s="100"/>
      <c r="K84" s="100"/>
      <c r="L84" s="2"/>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49" ht="16" customHeight="1" x14ac:dyDescent="0.2">
      <c r="A85" s="6"/>
      <c r="B85" s="100"/>
      <c r="C85" s="100"/>
      <c r="D85" s="100"/>
      <c r="E85" s="100"/>
      <c r="F85" s="100"/>
      <c r="G85" s="121" t="s">
        <v>10</v>
      </c>
      <c r="H85" s="124" t="s">
        <v>171</v>
      </c>
      <c r="I85" s="100"/>
      <c r="J85" s="100"/>
      <c r="K85" s="100"/>
      <c r="L85" s="2"/>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49" ht="16" customHeight="1" x14ac:dyDescent="0.2">
      <c r="A86" s="6"/>
      <c r="B86" s="100"/>
      <c r="E86" s="100"/>
      <c r="F86" s="100"/>
      <c r="G86" s="119">
        <v>2020</v>
      </c>
      <c r="H86" s="139">
        <f>H74*D8</f>
        <v>975330.01301518467</v>
      </c>
      <c r="I86" s="100"/>
      <c r="J86" s="100"/>
      <c r="K86" s="100"/>
      <c r="L86" s="2"/>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49" ht="16" customHeight="1" x14ac:dyDescent="0.2">
      <c r="A87" s="6"/>
      <c r="B87" s="100"/>
      <c r="E87" s="100"/>
      <c r="F87" s="100"/>
      <c r="G87" s="120">
        <v>2021</v>
      </c>
      <c r="H87" s="139">
        <f>H75*D9</f>
        <v>1011997.1565682555</v>
      </c>
      <c r="I87" s="100"/>
      <c r="J87" s="100"/>
      <c r="K87" s="100"/>
      <c r="L87" s="2"/>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49" ht="16" customHeight="1" x14ac:dyDescent="0.2">
      <c r="A88" s="6"/>
      <c r="B88" s="100"/>
      <c r="E88" s="100"/>
      <c r="F88" s="100"/>
      <c r="G88" s="120">
        <v>2022</v>
      </c>
      <c r="H88" s="139">
        <f>H76*D10</f>
        <v>975909.99818544718</v>
      </c>
      <c r="I88" s="100"/>
      <c r="J88" s="100"/>
      <c r="K88" s="100"/>
      <c r="L88" s="2"/>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49" ht="16" customHeight="1" x14ac:dyDescent="0.2">
      <c r="A89" s="6"/>
      <c r="B89" s="100"/>
      <c r="C89" s="100"/>
      <c r="D89" s="100"/>
      <c r="E89" s="100"/>
      <c r="F89" s="100"/>
      <c r="G89" s="100"/>
      <c r="H89" s="100"/>
      <c r="I89" s="100"/>
      <c r="J89" s="100"/>
      <c r="K89" s="100"/>
      <c r="L89" s="2"/>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49" ht="16" customHeight="1" x14ac:dyDescent="0.2">
      <c r="A90" s="8" t="s">
        <v>156</v>
      </c>
      <c r="C90" s="100"/>
      <c r="D90" s="100"/>
      <c r="E90"/>
      <c r="F90" s="100"/>
      <c r="G90" s="100"/>
      <c r="H90" s="100"/>
      <c r="I90" s="100"/>
      <c r="J90" s="100"/>
      <c r="K90" s="100"/>
      <c r="L90" s="2"/>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row>
    <row r="91" spans="1:49" ht="16" customHeight="1" x14ac:dyDescent="0.2">
      <c r="A91" s="6" t="s">
        <v>84</v>
      </c>
      <c r="B91" s="632" t="s">
        <v>176</v>
      </c>
      <c r="C91" s="632"/>
      <c r="D91" s="632"/>
      <c r="E91" s="632"/>
      <c r="F91" s="632"/>
      <c r="G91" s="632"/>
      <c r="H91" s="632"/>
      <c r="I91" s="632"/>
      <c r="J91" s="100"/>
      <c r="K91" s="100"/>
      <c r="L91" s="2"/>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row>
    <row r="92" spans="1:49" ht="16" customHeight="1" x14ac:dyDescent="0.2">
      <c r="A92" s="6"/>
      <c r="B92" s="632"/>
      <c r="C92" s="632"/>
      <c r="D92" s="632"/>
      <c r="E92" s="632"/>
      <c r="F92" s="632"/>
      <c r="G92" s="632"/>
      <c r="H92" s="632"/>
      <c r="I92" s="632"/>
      <c r="J92" s="100"/>
      <c r="K92" s="100"/>
      <c r="L92" s="2"/>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row>
    <row r="93" spans="1:49" ht="16" customHeight="1" x14ac:dyDescent="0.2">
      <c r="A93" s="6"/>
      <c r="B93" s="632"/>
      <c r="C93" s="632"/>
      <c r="D93" s="632"/>
      <c r="E93" s="632"/>
      <c r="F93" s="632"/>
      <c r="G93" s="632"/>
      <c r="H93" s="632"/>
      <c r="I93" s="632"/>
      <c r="J93" s="100"/>
      <c r="K93" s="100"/>
      <c r="L93" s="2"/>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row>
    <row r="94" spans="1:49" ht="16" customHeight="1" x14ac:dyDescent="0.2">
      <c r="A94" s="6"/>
      <c r="B94" s="100"/>
      <c r="C94" s="100"/>
      <c r="D94" s="100"/>
      <c r="E94" s="100"/>
      <c r="F94" s="100"/>
      <c r="G94" s="100"/>
      <c r="H94" s="100"/>
      <c r="I94" s="100"/>
      <c r="J94" s="100"/>
      <c r="K94" s="2"/>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row>
    <row r="95" spans="1:49" ht="16" customHeight="1" x14ac:dyDescent="0.2">
      <c r="A95" s="6"/>
      <c r="B95" s="100"/>
      <c r="C95" s="100"/>
      <c r="D95" s="100"/>
      <c r="E95" s="100"/>
      <c r="F95" s="100"/>
      <c r="G95" s="100"/>
      <c r="H95" s="100"/>
      <c r="I95" s="100"/>
      <c r="J95" s="100"/>
      <c r="K95" s="2"/>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row>
    <row r="96" spans="1:49" ht="16" customHeight="1" x14ac:dyDescent="0.2">
      <c r="A96" s="6"/>
      <c r="B96" s="100"/>
      <c r="C96" s="100"/>
      <c r="D96" s="100"/>
      <c r="E96" s="100"/>
      <c r="F96" s="100"/>
      <c r="G96" s="100"/>
      <c r="H96" s="100"/>
      <c r="I96" s="100"/>
      <c r="J96" s="100"/>
      <c r="K96" s="2"/>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row>
    <row r="97" spans="1:48" ht="16" customHeight="1" x14ac:dyDescent="0.2">
      <c r="A97" s="6"/>
      <c r="B97" s="100"/>
      <c r="C97" s="100"/>
      <c r="D97" s="100"/>
      <c r="E97" s="100"/>
      <c r="F97" s="100"/>
      <c r="G97" s="100"/>
      <c r="H97" s="100"/>
      <c r="I97" s="100"/>
      <c r="J97" s="100"/>
      <c r="K97" s="2"/>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row>
    <row r="98" spans="1:48" ht="16" customHeight="1" x14ac:dyDescent="0.2">
      <c r="A98" s="6"/>
      <c r="B98" s="100"/>
      <c r="C98" s="100"/>
      <c r="D98" s="100"/>
      <c r="E98" s="100"/>
      <c r="F98" s="100"/>
      <c r="G98" s="100"/>
      <c r="H98" s="100"/>
      <c r="I98" s="100"/>
      <c r="J98" s="100"/>
      <c r="K98" s="2"/>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row>
    <row r="99" spans="1:48" ht="16" customHeight="1" x14ac:dyDescent="0.2">
      <c r="A99" s="6"/>
      <c r="B99" s="100"/>
      <c r="C99" s="100"/>
      <c r="D99" s="100"/>
      <c r="E99" s="100"/>
      <c r="F99" s="100"/>
      <c r="G99" s="100"/>
      <c r="H99" s="100"/>
      <c r="I99" s="100"/>
      <c r="J99" s="100"/>
      <c r="K99" s="2"/>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row>
    <row r="100" spans="1:48" ht="16" customHeight="1" x14ac:dyDescent="0.2">
      <c r="A100" s="6"/>
      <c r="B100" s="100"/>
      <c r="C100" s="100"/>
      <c r="D100" s="100"/>
      <c r="E100" s="100"/>
      <c r="F100" s="100"/>
      <c r="G100" s="100"/>
      <c r="H100" s="100"/>
      <c r="I100" s="100"/>
      <c r="J100" s="100"/>
      <c r="K100" s="2"/>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row>
    <row r="101" spans="1:48" ht="16" customHeight="1" x14ac:dyDescent="0.2">
      <c r="A101" s="6"/>
      <c r="B101" s="100"/>
      <c r="C101" s="100"/>
      <c r="D101" s="100"/>
      <c r="E101" s="100"/>
      <c r="F101" s="100"/>
      <c r="G101" s="100"/>
      <c r="H101" s="100"/>
      <c r="I101" s="100"/>
      <c r="J101" s="100"/>
      <c r="K101" s="2"/>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row>
    <row r="102" spans="1:48" ht="16" customHeight="1" x14ac:dyDescent="0.2">
      <c r="A102" s="6"/>
      <c r="B102" s="100"/>
      <c r="C102" s="100"/>
      <c r="D102" s="100"/>
      <c r="E102" s="100"/>
      <c r="F102" s="100"/>
      <c r="G102" s="100"/>
      <c r="H102" s="100"/>
      <c r="I102" s="100"/>
      <c r="J102" s="100"/>
      <c r="K102" s="2"/>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row>
    <row r="103" spans="1:48" ht="16" customHeight="1" x14ac:dyDescent="0.2">
      <c r="A103" s="6"/>
      <c r="B103" s="100"/>
      <c r="C103" s="100"/>
      <c r="D103" s="100"/>
      <c r="E103" s="100"/>
      <c r="F103" s="100"/>
      <c r="G103" s="100"/>
      <c r="H103" s="100"/>
      <c r="I103" s="100"/>
      <c r="J103" s="100"/>
      <c r="K103" s="2"/>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row>
    <row r="104" spans="1:48" ht="16" customHeight="1" x14ac:dyDescent="0.2">
      <c r="A104" s="6"/>
      <c r="B104" s="100"/>
      <c r="C104" s="100"/>
      <c r="D104" s="100"/>
      <c r="E104" s="100"/>
      <c r="F104" s="100"/>
      <c r="G104" s="100"/>
      <c r="H104" s="100"/>
      <c r="I104" s="100"/>
      <c r="J104" s="100"/>
      <c r="K104" s="2"/>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row>
    <row r="105" spans="1:48" ht="16" customHeight="1" x14ac:dyDescent="0.2">
      <c r="A105" s="6"/>
      <c r="B105" s="100"/>
      <c r="C105" s="100"/>
      <c r="D105" s="100"/>
      <c r="E105" s="100"/>
      <c r="F105" s="100"/>
      <c r="G105" s="100"/>
      <c r="H105" s="100"/>
      <c r="I105" s="100"/>
      <c r="J105" s="100"/>
      <c r="K105" s="2"/>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row>
    <row r="106" spans="1:48" ht="16" customHeight="1" x14ac:dyDescent="0.2">
      <c r="A106" s="6"/>
      <c r="B106" s="100"/>
      <c r="C106" s="100"/>
      <c r="D106" s="100"/>
      <c r="E106" s="100"/>
      <c r="F106" s="100"/>
      <c r="G106" s="100"/>
      <c r="H106" s="100"/>
      <c r="I106" s="100"/>
      <c r="J106" s="100"/>
      <c r="K106" s="2"/>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row>
    <row r="107" spans="1:48" ht="16" customHeight="1" thickBot="1" x14ac:dyDescent="0.25">
      <c r="A107" s="6"/>
      <c r="B107" s="100"/>
      <c r="C107" s="100"/>
      <c r="D107" s="100"/>
      <c r="E107" s="100"/>
      <c r="F107" s="100"/>
      <c r="G107" s="100"/>
      <c r="H107" s="100"/>
      <c r="I107" s="100"/>
      <c r="J107" s="100"/>
      <c r="K107" s="2"/>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row>
    <row r="108" spans="1:48" ht="16" customHeight="1" x14ac:dyDescent="0.2">
      <c r="A108" s="6"/>
      <c r="B108" s="115" t="s">
        <v>69</v>
      </c>
      <c r="C108" s="668" t="s">
        <v>166</v>
      </c>
      <c r="D108" s="669"/>
      <c r="E108" s="669"/>
      <c r="F108" s="670"/>
      <c r="G108" s="114" t="s">
        <v>167</v>
      </c>
      <c r="H108" s="147" t="s">
        <v>169</v>
      </c>
      <c r="I108" s="100"/>
      <c r="J108" s="100"/>
      <c r="K108" s="2"/>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row>
    <row r="109" spans="1:48" ht="16" customHeight="1" x14ac:dyDescent="0.2">
      <c r="A109" s="6"/>
      <c r="B109" s="121" t="s">
        <v>10</v>
      </c>
      <c r="C109" s="123">
        <v>1</v>
      </c>
      <c r="D109" s="124">
        <v>2</v>
      </c>
      <c r="E109" s="124">
        <v>3</v>
      </c>
      <c r="F109" s="125">
        <v>4</v>
      </c>
      <c r="G109" s="124" t="s">
        <v>165</v>
      </c>
      <c r="H109" s="148" t="s">
        <v>170</v>
      </c>
      <c r="I109" s="100"/>
      <c r="J109" s="100"/>
      <c r="K109" s="2"/>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row>
    <row r="110" spans="1:48" ht="16" customHeight="1" x14ac:dyDescent="0.2">
      <c r="A110" s="6"/>
      <c r="B110" s="119">
        <v>2020</v>
      </c>
      <c r="C110" s="141">
        <v>0.25</v>
      </c>
      <c r="D110" s="142">
        <v>0.75</v>
      </c>
      <c r="E110" s="142"/>
      <c r="F110" s="143"/>
      <c r="G110" s="136">
        <f>SUMPRODUCT(C110:F110,$C$113:$F$113)</f>
        <v>1.0225</v>
      </c>
      <c r="H110" s="149">
        <f>$F$113/G110</f>
        <v>1.1056508557457214</v>
      </c>
      <c r="I110" s="100"/>
      <c r="J110" s="100"/>
      <c r="K110" s="2"/>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row>
    <row r="111" spans="1:48" ht="16" customHeight="1" x14ac:dyDescent="0.2">
      <c r="A111" s="6"/>
      <c r="B111" s="120">
        <v>2021</v>
      </c>
      <c r="C111" s="141"/>
      <c r="D111" s="142">
        <v>0.5</v>
      </c>
      <c r="E111" s="142">
        <v>0.5</v>
      </c>
      <c r="F111" s="143"/>
      <c r="G111" s="136">
        <f>SUMPRODUCT(C111:F111,$C$113:$F$113)</f>
        <v>1.0918000000000001</v>
      </c>
      <c r="H111" s="149">
        <f t="shared" ref="H111:H112" si="1">$F$113/G111</f>
        <v>1.0354716981132077</v>
      </c>
      <c r="I111" s="100"/>
      <c r="J111" s="100"/>
      <c r="K111" s="2"/>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row>
    <row r="112" spans="1:48" ht="16" customHeight="1" thickBot="1" x14ac:dyDescent="0.25">
      <c r="A112" s="6"/>
      <c r="B112" s="129">
        <v>2022</v>
      </c>
      <c r="C112" s="144"/>
      <c r="D112" s="145"/>
      <c r="E112" s="145">
        <v>0.5</v>
      </c>
      <c r="F112" s="146">
        <v>0.5</v>
      </c>
      <c r="G112" s="137">
        <f>SUMPRODUCT(C112:F112,$C$113:$F$113)</f>
        <v>1.1420640000000002</v>
      </c>
      <c r="H112" s="150">
        <f t="shared" si="1"/>
        <v>0.98989898989898994</v>
      </c>
      <c r="I112" s="100"/>
      <c r="J112" s="100"/>
      <c r="K112" s="2"/>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row>
    <row r="113" spans="1:65" ht="16" customHeight="1" x14ac:dyDescent="0.2">
      <c r="A113" s="6"/>
      <c r="B113" s="115" t="s">
        <v>165</v>
      </c>
      <c r="C113" s="126">
        <f>I27</f>
        <v>1</v>
      </c>
      <c r="D113" s="127">
        <f>I28</f>
        <v>1.03</v>
      </c>
      <c r="E113" s="127">
        <f>I29</f>
        <v>1.1536000000000002</v>
      </c>
      <c r="F113" s="128">
        <f>I30</f>
        <v>1.1305280000000002</v>
      </c>
      <c r="G113" s="114"/>
      <c r="H113" s="100"/>
      <c r="I113" s="100"/>
      <c r="J113" s="100"/>
      <c r="K113" s="2"/>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row>
    <row r="114" spans="1:65" ht="16" customHeight="1" x14ac:dyDescent="0.2">
      <c r="A114" s="6"/>
      <c r="B114" s="100"/>
      <c r="D114" s="100"/>
      <c r="E114" s="100"/>
      <c r="F114" s="100"/>
      <c r="G114" s="100"/>
      <c r="H114" s="100"/>
      <c r="I114" s="100"/>
      <c r="J114" s="100"/>
      <c r="K114" s="100"/>
      <c r="L114" s="2"/>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row>
    <row r="115" spans="1:65" ht="16" customHeight="1" x14ac:dyDescent="0.2">
      <c r="A115" s="6"/>
      <c r="B115" s="100"/>
      <c r="D115" s="100"/>
      <c r="E115" s="100"/>
      <c r="F115" s="100"/>
      <c r="G115" s="100"/>
      <c r="H115" s="100"/>
      <c r="I115" s="100"/>
      <c r="J115" s="100"/>
      <c r="K115" s="100"/>
      <c r="L115" s="2"/>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row>
    <row r="116" spans="1:65" ht="19" x14ac:dyDescent="0.25">
      <c r="A116" s="4" t="s">
        <v>3</v>
      </c>
      <c r="B116" s="100"/>
      <c r="C116" s="100"/>
      <c r="D116" s="100"/>
      <c r="E116" s="100"/>
      <c r="F116" s="100"/>
      <c r="G116" s="100"/>
      <c r="H116" s="100"/>
      <c r="I116" s="100"/>
      <c r="J116" s="100"/>
      <c r="K116" s="100"/>
      <c r="L116" s="2"/>
      <c r="M116" s="2"/>
      <c r="N116" s="2"/>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row>
    <row r="117" spans="1:65" ht="16" customHeight="1" x14ac:dyDescent="0.2">
      <c r="A117" s="2"/>
      <c r="B117" s="646" t="s">
        <v>194</v>
      </c>
      <c r="C117" s="646"/>
      <c r="D117" s="646"/>
      <c r="E117" s="646"/>
      <c r="F117" s="646"/>
      <c r="G117" s="646"/>
      <c r="H117" s="646"/>
      <c r="I117" s="646"/>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1:65" x14ac:dyDescent="0.2">
      <c r="A118" s="2"/>
      <c r="B118" s="646"/>
      <c r="C118" s="646"/>
      <c r="D118" s="646"/>
      <c r="E118" s="646"/>
      <c r="F118" s="646"/>
      <c r="G118" s="646"/>
      <c r="H118" s="646"/>
      <c r="I118" s="646"/>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1:65" x14ac:dyDescent="0.2">
      <c r="A119" s="2"/>
      <c r="B119" s="646"/>
      <c r="C119" s="646"/>
      <c r="D119" s="646"/>
      <c r="E119" s="646"/>
      <c r="F119" s="646"/>
      <c r="G119" s="646"/>
      <c r="H119" s="646"/>
      <c r="I119" s="646"/>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1:65" x14ac:dyDescent="0.2">
      <c r="A120" s="2"/>
      <c r="B120" s="646"/>
      <c r="C120" s="646"/>
      <c r="D120" s="646"/>
      <c r="E120" s="646"/>
      <c r="F120" s="646"/>
      <c r="G120" s="646"/>
      <c r="H120" s="646"/>
      <c r="I120" s="646"/>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1:65" x14ac:dyDescent="0.2">
      <c r="A121" s="2"/>
      <c r="B121" s="646"/>
      <c r="C121" s="646"/>
      <c r="D121" s="646"/>
      <c r="E121" s="646"/>
      <c r="F121" s="646"/>
      <c r="G121" s="646"/>
      <c r="H121" s="646"/>
      <c r="I121" s="646"/>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1:65" x14ac:dyDescent="0.2">
      <c r="A122" s="2"/>
      <c r="B122" s="646"/>
      <c r="C122" s="646"/>
      <c r="D122" s="646"/>
      <c r="E122" s="646"/>
      <c r="F122" s="646"/>
      <c r="G122" s="646"/>
      <c r="H122" s="646"/>
      <c r="I122" s="646"/>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1:65" x14ac:dyDescent="0.2">
      <c r="A123" s="2"/>
      <c r="B123" s="646"/>
      <c r="C123" s="646"/>
      <c r="D123" s="646"/>
      <c r="E123" s="646"/>
      <c r="F123" s="646"/>
      <c r="G123" s="646"/>
      <c r="H123" s="646"/>
      <c r="I123" s="646"/>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1:65" x14ac:dyDescent="0.2">
      <c r="A124" s="2"/>
      <c r="B124" s="97"/>
      <c r="C124" s="97"/>
      <c r="D124" s="97"/>
      <c r="E124" s="97"/>
      <c r="F124" s="97"/>
      <c r="G124" s="97"/>
      <c r="H124" s="97"/>
      <c r="I124" s="97"/>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1:65" ht="19" x14ac:dyDescent="0.25">
      <c r="A125" s="2"/>
      <c r="B125" s="5" t="s">
        <v>177</v>
      </c>
      <c r="C125" s="97"/>
      <c r="D125" s="97"/>
      <c r="E125" s="97"/>
      <c r="F125" s="97"/>
      <c r="G125" s="97"/>
      <c r="H125" s="97"/>
      <c r="I125" s="97"/>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1:65" ht="16" customHeight="1" x14ac:dyDescent="0.2">
      <c r="A126" s="2"/>
      <c r="B126" s="646" t="s">
        <v>193</v>
      </c>
      <c r="C126" s="646"/>
      <c r="D126" s="646"/>
      <c r="E126" s="646"/>
      <c r="F126" s="646"/>
      <c r="G126" s="646"/>
      <c r="H126" s="646"/>
      <c r="I126" s="646"/>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1:65" x14ac:dyDescent="0.2">
      <c r="A127" s="2"/>
      <c r="B127" s="646"/>
      <c r="C127" s="646"/>
      <c r="D127" s="646"/>
      <c r="E127" s="646"/>
      <c r="F127" s="646"/>
      <c r="G127" s="646"/>
      <c r="H127" s="646"/>
      <c r="I127" s="646"/>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1:65" x14ac:dyDescent="0.2">
      <c r="A128" s="2"/>
      <c r="B128" s="646"/>
      <c r="C128" s="646"/>
      <c r="D128" s="646"/>
      <c r="E128" s="646"/>
      <c r="F128" s="646"/>
      <c r="G128" s="646"/>
      <c r="H128" s="646"/>
      <c r="I128" s="646"/>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1:65" x14ac:dyDescent="0.2">
      <c r="A129" s="2"/>
      <c r="B129" s="646"/>
      <c r="C129" s="646"/>
      <c r="D129" s="646"/>
      <c r="E129" s="646"/>
      <c r="F129" s="646"/>
      <c r="G129" s="646"/>
      <c r="H129" s="646"/>
      <c r="I129" s="646"/>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1:65" x14ac:dyDescent="0.2">
      <c r="A130" s="2"/>
      <c r="B130" s="646"/>
      <c r="C130" s="646"/>
      <c r="D130" s="646"/>
      <c r="E130" s="646"/>
      <c r="F130" s="646"/>
      <c r="G130" s="646"/>
      <c r="H130" s="646"/>
      <c r="I130" s="646"/>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1:65" x14ac:dyDescent="0.2">
      <c r="A131" s="2"/>
      <c r="B131" s="646"/>
      <c r="C131" s="646"/>
      <c r="D131" s="646"/>
      <c r="E131" s="646"/>
      <c r="F131" s="646"/>
      <c r="G131" s="646"/>
      <c r="H131" s="646"/>
      <c r="I131" s="646"/>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1:65" x14ac:dyDescent="0.2">
      <c r="A132" s="2"/>
      <c r="B132" s="97"/>
      <c r="C132" s="97"/>
      <c r="D132" s="97"/>
      <c r="E132" s="97"/>
      <c r="F132" s="97"/>
      <c r="G132" s="97"/>
      <c r="H132" s="97"/>
      <c r="I132" s="97"/>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1:65" ht="19" x14ac:dyDescent="0.25">
      <c r="A133" s="2"/>
      <c r="B133" s="5" t="s">
        <v>178</v>
      </c>
      <c r="C133" s="100"/>
      <c r="D133" s="100"/>
      <c r="E133" s="100"/>
      <c r="F133" s="100"/>
      <c r="G133" s="100"/>
      <c r="H133" s="100"/>
      <c r="I133" s="100"/>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1:65" ht="16" customHeight="1" x14ac:dyDescent="0.2">
      <c r="A134" s="2"/>
      <c r="B134" s="671" t="s">
        <v>559</v>
      </c>
      <c r="C134" s="671"/>
      <c r="D134" s="671"/>
      <c r="E134" s="671"/>
      <c r="F134" s="671"/>
      <c r="G134" s="671"/>
      <c r="H134" s="671"/>
      <c r="I134" s="671"/>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1:65" x14ac:dyDescent="0.2">
      <c r="A135" s="2"/>
      <c r="B135" s="671"/>
      <c r="C135" s="671"/>
      <c r="D135" s="671"/>
      <c r="E135" s="671"/>
      <c r="F135" s="671"/>
      <c r="G135" s="671"/>
      <c r="H135" s="671"/>
      <c r="I135" s="671"/>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1:65" x14ac:dyDescent="0.2">
      <c r="A136" s="2"/>
      <c r="B136" s="671"/>
      <c r="C136" s="671"/>
      <c r="D136" s="671"/>
      <c r="E136" s="671"/>
      <c r="F136" s="671"/>
      <c r="G136" s="671"/>
      <c r="H136" s="671"/>
      <c r="I136" s="671"/>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1:65" x14ac:dyDescent="0.2">
      <c r="A137" s="2"/>
      <c r="B137" s="671"/>
      <c r="C137" s="671"/>
      <c r="D137" s="671"/>
      <c r="E137" s="671"/>
      <c r="F137" s="671"/>
      <c r="G137" s="671"/>
      <c r="H137" s="671"/>
      <c r="I137" s="671"/>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1:65" x14ac:dyDescent="0.2">
      <c r="A138" s="2"/>
      <c r="B138" s="671"/>
      <c r="C138" s="671"/>
      <c r="D138" s="671"/>
      <c r="E138" s="671"/>
      <c r="F138" s="671"/>
      <c r="G138" s="671"/>
      <c r="H138" s="671"/>
      <c r="I138" s="671"/>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1:65" x14ac:dyDescent="0.2">
      <c r="A139" s="2"/>
      <c r="B139" s="671"/>
      <c r="C139" s="671"/>
      <c r="D139" s="671"/>
      <c r="E139" s="671"/>
      <c r="F139" s="671"/>
      <c r="G139" s="671"/>
      <c r="H139" s="671"/>
      <c r="I139" s="671"/>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1:65" x14ac:dyDescent="0.2">
      <c r="A140" s="2"/>
      <c r="B140" s="671"/>
      <c r="C140" s="671"/>
      <c r="D140" s="671"/>
      <c r="E140" s="671"/>
      <c r="F140" s="671"/>
      <c r="G140" s="671"/>
      <c r="H140" s="671"/>
      <c r="I140" s="671"/>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1:65" x14ac:dyDescent="0.2">
      <c r="A141" s="2"/>
      <c r="B141" s="671"/>
      <c r="C141" s="671"/>
      <c r="D141" s="671"/>
      <c r="E141" s="671"/>
      <c r="F141" s="671"/>
      <c r="G141" s="671"/>
      <c r="H141" s="671"/>
      <c r="I141" s="671"/>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1:65" x14ac:dyDescent="0.2">
      <c r="A142" s="2"/>
      <c r="B142" s="671"/>
      <c r="C142" s="671"/>
      <c r="D142" s="671"/>
      <c r="E142" s="671"/>
      <c r="F142" s="671"/>
      <c r="G142" s="671"/>
      <c r="H142" s="671"/>
      <c r="I142" s="671"/>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1:65" x14ac:dyDescent="0.2">
      <c r="A143" s="2"/>
      <c r="B143" s="671"/>
      <c r="C143" s="671"/>
      <c r="D143" s="671"/>
      <c r="E143" s="671"/>
      <c r="F143" s="671"/>
      <c r="G143" s="671"/>
      <c r="H143" s="671"/>
      <c r="I143" s="671"/>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1:65" x14ac:dyDescent="0.2">
      <c r="A144" s="2"/>
      <c r="B144" s="671"/>
      <c r="C144" s="671"/>
      <c r="D144" s="671"/>
      <c r="E144" s="671"/>
      <c r="F144" s="671"/>
      <c r="G144" s="671"/>
      <c r="H144" s="671"/>
      <c r="I144" s="671"/>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1:65" x14ac:dyDescent="0.2">
      <c r="A145" s="2"/>
      <c r="B145" s="100"/>
      <c r="C145" s="100"/>
      <c r="D145" s="100"/>
      <c r="E145" s="100"/>
      <c r="F145" s="100"/>
      <c r="G145" s="100"/>
      <c r="H145" s="100"/>
      <c r="I145" s="100"/>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1:65" ht="19" x14ac:dyDescent="0.25">
      <c r="A146" s="2"/>
      <c r="B146" s="5" t="s">
        <v>179</v>
      </c>
      <c r="C146" s="97"/>
      <c r="D146" s="97"/>
      <c r="E146" s="97"/>
      <c r="F146" s="97"/>
      <c r="G146" s="97"/>
      <c r="H146" s="97"/>
      <c r="I146" s="97"/>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1:65" x14ac:dyDescent="0.2">
      <c r="A147" s="2"/>
      <c r="B147" s="646" t="s">
        <v>191</v>
      </c>
      <c r="C147" s="646"/>
      <c r="D147" s="646"/>
      <c r="E147" s="646"/>
      <c r="F147" s="646"/>
      <c r="G147" s="646"/>
      <c r="H147" s="646"/>
      <c r="I147" s="646"/>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1:65" x14ac:dyDescent="0.2">
      <c r="A148" s="2"/>
      <c r="B148" s="646"/>
      <c r="C148" s="646"/>
      <c r="D148" s="646"/>
      <c r="E148" s="646"/>
      <c r="F148" s="646"/>
      <c r="G148" s="646"/>
      <c r="H148" s="646"/>
      <c r="I148" s="646"/>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1:65" x14ac:dyDescent="0.2">
      <c r="A149" s="2"/>
      <c r="B149" s="646"/>
      <c r="C149" s="646"/>
      <c r="D149" s="646"/>
      <c r="E149" s="646"/>
      <c r="F149" s="646"/>
      <c r="G149" s="646"/>
      <c r="H149" s="646"/>
      <c r="I149" s="646"/>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1:65" x14ac:dyDescent="0.2">
      <c r="A150" s="2"/>
      <c r="B150" s="646"/>
      <c r="C150" s="646"/>
      <c r="D150" s="646"/>
      <c r="E150" s="646"/>
      <c r="F150" s="646"/>
      <c r="G150" s="646"/>
      <c r="H150" s="646"/>
      <c r="I150" s="646"/>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1:65" x14ac:dyDescent="0.2">
      <c r="A151" s="2"/>
      <c r="B151" s="646"/>
      <c r="C151" s="646"/>
      <c r="D151" s="646"/>
      <c r="E151" s="646"/>
      <c r="F151" s="646"/>
      <c r="G151" s="646"/>
      <c r="H151" s="646"/>
      <c r="I151" s="646"/>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1:65" x14ac:dyDescent="0.2">
      <c r="A152" s="2"/>
      <c r="B152" s="646"/>
      <c r="C152" s="646"/>
      <c r="D152" s="646"/>
      <c r="E152" s="646"/>
      <c r="F152" s="646"/>
      <c r="G152" s="646"/>
      <c r="H152" s="646"/>
      <c r="I152" s="646"/>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1:65" x14ac:dyDescent="0.2">
      <c r="A153" s="2"/>
      <c r="B153" s="646"/>
      <c r="C153" s="646"/>
      <c r="D153" s="646"/>
      <c r="E153" s="646"/>
      <c r="F153" s="646"/>
      <c r="G153" s="646"/>
      <c r="H153" s="646"/>
      <c r="I153" s="646"/>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1:65" x14ac:dyDescent="0.2">
      <c r="A154" s="2"/>
      <c r="C154" s="97"/>
      <c r="D154" s="97"/>
      <c r="E154" s="97"/>
      <c r="F154" s="97"/>
      <c r="G154" s="97"/>
      <c r="H154" s="97"/>
      <c r="I154" s="97"/>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1:65" x14ac:dyDescent="0.2">
      <c r="A155" s="2"/>
      <c r="C155" s="97"/>
      <c r="D155" s="97"/>
      <c r="E155" s="97"/>
      <c r="F155" s="97"/>
      <c r="G155" s="97"/>
      <c r="H155" s="97"/>
      <c r="I155" s="97"/>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1:65" x14ac:dyDescent="0.2">
      <c r="A156" s="2"/>
      <c r="C156" s="97"/>
      <c r="D156" s="97"/>
      <c r="E156" s="97"/>
      <c r="F156" s="97"/>
      <c r="G156" s="97"/>
      <c r="H156" s="97"/>
      <c r="I156" s="97"/>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1:65" x14ac:dyDescent="0.2">
      <c r="A157" s="2"/>
      <c r="C157" s="97"/>
      <c r="D157" s="97"/>
      <c r="E157" s="97"/>
      <c r="F157" s="97"/>
      <c r="G157" s="97"/>
      <c r="H157" s="97"/>
      <c r="I157" s="97"/>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1:65" x14ac:dyDescent="0.2">
      <c r="A158" s="2"/>
      <c r="C158" s="97"/>
      <c r="D158" s="97"/>
      <c r="E158" s="97"/>
      <c r="F158" s="97"/>
      <c r="G158" s="97"/>
      <c r="H158" s="97"/>
      <c r="I158" s="97"/>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1:65" x14ac:dyDescent="0.2">
      <c r="A159" s="2"/>
      <c r="C159" s="97"/>
      <c r="D159" s="97"/>
      <c r="E159" s="97"/>
      <c r="F159" s="97"/>
      <c r="G159" s="97"/>
      <c r="H159" s="97"/>
      <c r="I159" s="97"/>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1:65" x14ac:dyDescent="0.2">
      <c r="A160" s="2"/>
      <c r="C160" s="97"/>
      <c r="D160" s="97"/>
      <c r="E160" s="97"/>
      <c r="F160" s="97"/>
      <c r="G160" s="97"/>
      <c r="H160" s="97"/>
      <c r="I160" s="97"/>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1:65" x14ac:dyDescent="0.2">
      <c r="A161" s="2"/>
      <c r="C161" s="97"/>
      <c r="D161" s="97"/>
      <c r="E161" s="97"/>
      <c r="F161" s="97"/>
      <c r="G161" s="97"/>
      <c r="H161" s="97"/>
      <c r="I161" s="97"/>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1:65" x14ac:dyDescent="0.2">
      <c r="A162" s="2"/>
      <c r="C162" s="97"/>
      <c r="D162" s="97"/>
      <c r="E162" s="97"/>
      <c r="F162" s="97"/>
      <c r="G162" s="97"/>
      <c r="H162" s="97"/>
      <c r="I162" s="97"/>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1:65" x14ac:dyDescent="0.2">
      <c r="A163" s="2"/>
      <c r="C163" s="97"/>
      <c r="D163" s="97"/>
      <c r="E163" s="97"/>
      <c r="F163" s="97"/>
      <c r="G163" s="97"/>
      <c r="H163" s="97"/>
      <c r="I163" s="97"/>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1:65" x14ac:dyDescent="0.2">
      <c r="A164" s="2"/>
      <c r="C164" s="97"/>
      <c r="D164" s="97"/>
      <c r="E164" s="97"/>
      <c r="F164" s="97"/>
      <c r="G164" s="97"/>
      <c r="H164" s="97"/>
      <c r="I164" s="97"/>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1:65" x14ac:dyDescent="0.2">
      <c r="A165" s="2"/>
      <c r="C165" s="97"/>
      <c r="D165" s="97"/>
      <c r="E165" s="97"/>
      <c r="F165" s="97"/>
      <c r="G165" s="97"/>
      <c r="H165" s="97"/>
      <c r="I165" s="97"/>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1:65" x14ac:dyDescent="0.2">
      <c r="A166" s="2"/>
      <c r="C166" s="97"/>
      <c r="D166" s="97"/>
      <c r="E166" s="97"/>
      <c r="F166" s="97"/>
      <c r="G166" s="97"/>
      <c r="H166" s="97"/>
      <c r="I166" s="97"/>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1:65" ht="17" thickBot="1" x14ac:dyDescent="0.25">
      <c r="A167" s="2"/>
      <c r="B167" s="97"/>
      <c r="C167" s="97"/>
      <c r="D167" s="74"/>
      <c r="E167" s="97"/>
      <c r="F167" s="97"/>
      <c r="G167" s="97"/>
      <c r="H167" s="97"/>
      <c r="I167" s="97"/>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1:65" x14ac:dyDescent="0.2">
      <c r="A168" s="2"/>
      <c r="B168" s="416" t="s">
        <v>164</v>
      </c>
      <c r="C168" s="668" t="s">
        <v>166</v>
      </c>
      <c r="D168" s="669"/>
      <c r="E168" s="669"/>
      <c r="F168" s="670"/>
      <c r="G168" s="114" t="s">
        <v>167</v>
      </c>
      <c r="H168" s="147" t="s">
        <v>169</v>
      </c>
      <c r="I168" s="97"/>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1:65" ht="17" x14ac:dyDescent="0.2">
      <c r="A169" s="2"/>
      <c r="B169" s="121" t="s">
        <v>10</v>
      </c>
      <c r="C169" s="123">
        <v>1</v>
      </c>
      <c r="D169" s="124">
        <v>2</v>
      </c>
      <c r="E169" s="124">
        <v>3</v>
      </c>
      <c r="F169" s="125">
        <v>4</v>
      </c>
      <c r="G169" s="124" t="s">
        <v>165</v>
      </c>
      <c r="H169" s="148" t="s">
        <v>170</v>
      </c>
      <c r="I169" s="97"/>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1:65" x14ac:dyDescent="0.2">
      <c r="A170" s="2"/>
      <c r="B170" s="119">
        <v>2020</v>
      </c>
      <c r="C170" s="141">
        <v>0.5</v>
      </c>
      <c r="D170" s="142">
        <v>0.5</v>
      </c>
      <c r="E170" s="142"/>
      <c r="F170" s="143"/>
      <c r="G170" s="136">
        <f>SUMPRODUCT(C170:F170,$C$173:$F$173)</f>
        <v>1.0150000000000001</v>
      </c>
      <c r="H170" s="149">
        <f>$F$173/G170</f>
        <v>1.1138206896551726</v>
      </c>
      <c r="I170" s="97"/>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1:65" x14ac:dyDescent="0.2">
      <c r="A171" s="2"/>
      <c r="B171" s="120">
        <v>2021</v>
      </c>
      <c r="C171" s="141"/>
      <c r="D171" s="142">
        <f>1-E171</f>
        <v>0.75</v>
      </c>
      <c r="E171" s="142">
        <f>1*0.5*0.5</f>
        <v>0.25</v>
      </c>
      <c r="F171" s="143"/>
      <c r="G171" s="136">
        <f>SUMPRODUCT(C171:F171,$C$173:$F$173)</f>
        <v>1.0609</v>
      </c>
      <c r="H171" s="149">
        <f t="shared" ref="H171:H172" si="2">$F$173/G171</f>
        <v>1.0656310679611654</v>
      </c>
      <c r="I171" s="97"/>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1:65" ht="17" thickBot="1" x14ac:dyDescent="0.25">
      <c r="A172" s="2"/>
      <c r="B172" s="129">
        <v>2022</v>
      </c>
      <c r="C172" s="144"/>
      <c r="D172" s="145"/>
      <c r="E172" s="145">
        <f>1-F172</f>
        <v>0.75</v>
      </c>
      <c r="F172" s="146">
        <f>1*0.5*0.5</f>
        <v>0.25</v>
      </c>
      <c r="G172" s="137">
        <f>SUMPRODUCT(C172:F172,$C$173:$F$173)</f>
        <v>1.1478320000000002</v>
      </c>
      <c r="H172" s="150">
        <f t="shared" si="2"/>
        <v>0.98492462311557794</v>
      </c>
      <c r="I172" s="97"/>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1:65" x14ac:dyDescent="0.2">
      <c r="A173" s="2"/>
      <c r="B173" s="115" t="s">
        <v>165</v>
      </c>
      <c r="C173" s="126">
        <f>I27</f>
        <v>1</v>
      </c>
      <c r="D173" s="127">
        <f>I28</f>
        <v>1.03</v>
      </c>
      <c r="E173" s="127">
        <f>I29</f>
        <v>1.1536000000000002</v>
      </c>
      <c r="F173" s="128">
        <f>I30</f>
        <v>1.1305280000000002</v>
      </c>
      <c r="G173" s="114"/>
      <c r="H173" s="100"/>
      <c r="I173" s="97"/>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1:65" x14ac:dyDescent="0.2">
      <c r="A174" s="2"/>
      <c r="B174" s="97"/>
      <c r="C174" s="97"/>
      <c r="D174" s="97"/>
      <c r="E174" s="97"/>
      <c r="F174" s="97"/>
      <c r="G174" s="97"/>
      <c r="H174" s="97"/>
      <c r="I174" s="97"/>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1:65" ht="16" customHeight="1" x14ac:dyDescent="0.2">
      <c r="A175" s="2"/>
      <c r="B175" s="646" t="s">
        <v>187</v>
      </c>
      <c r="C175" s="646"/>
      <c r="D175" s="646"/>
      <c r="E175" s="646"/>
      <c r="F175" s="646"/>
      <c r="G175" s="646"/>
      <c r="H175" s="646"/>
      <c r="I175" s="646"/>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1:65" x14ac:dyDescent="0.2">
      <c r="A176" s="2"/>
      <c r="B176" s="646"/>
      <c r="C176" s="646"/>
      <c r="D176" s="646"/>
      <c r="E176" s="646"/>
      <c r="F176" s="646"/>
      <c r="G176" s="646"/>
      <c r="H176" s="646"/>
      <c r="I176" s="646"/>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1:65" x14ac:dyDescent="0.2">
      <c r="A177" s="2"/>
      <c r="B177" s="646"/>
      <c r="C177" s="646"/>
      <c r="D177" s="646"/>
      <c r="E177" s="646"/>
      <c r="F177" s="646"/>
      <c r="G177" s="646"/>
      <c r="H177" s="646"/>
      <c r="I177" s="646"/>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1:65" x14ac:dyDescent="0.2">
      <c r="A178" s="2"/>
      <c r="B178" s="97"/>
      <c r="C178" s="97"/>
      <c r="D178" s="97"/>
      <c r="E178" s="97"/>
      <c r="F178" s="97"/>
      <c r="G178" s="97"/>
      <c r="H178" s="97"/>
      <c r="I178" s="97"/>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1:65" ht="19" x14ac:dyDescent="0.25">
      <c r="A179" s="2"/>
      <c r="B179" s="5" t="s">
        <v>180</v>
      </c>
      <c r="C179" s="97"/>
      <c r="D179" s="97"/>
      <c r="E179" s="97"/>
      <c r="F179" s="97"/>
      <c r="G179" s="97"/>
      <c r="H179" s="97"/>
      <c r="I179" s="97"/>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1:65" ht="16" customHeight="1" x14ac:dyDescent="0.2">
      <c r="A180" s="2"/>
      <c r="B180" s="646" t="s">
        <v>188</v>
      </c>
      <c r="C180" s="646"/>
      <c r="D180" s="646"/>
      <c r="E180" s="646"/>
      <c r="F180" s="646"/>
      <c r="G180" s="646"/>
      <c r="H180" s="646"/>
      <c r="I180" s="646"/>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1:65" x14ac:dyDescent="0.2">
      <c r="A181" s="2"/>
      <c r="B181" s="646"/>
      <c r="C181" s="646"/>
      <c r="D181" s="646"/>
      <c r="E181" s="646"/>
      <c r="F181" s="646"/>
      <c r="G181" s="646"/>
      <c r="H181" s="646"/>
      <c r="I181" s="646"/>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1:65" x14ac:dyDescent="0.2">
      <c r="A182" s="2"/>
      <c r="B182" s="646"/>
      <c r="C182" s="646"/>
      <c r="D182" s="646"/>
      <c r="E182" s="646"/>
      <c r="F182" s="646"/>
      <c r="G182" s="646"/>
      <c r="H182" s="646"/>
      <c r="I182" s="646"/>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row r="183" spans="1:65" x14ac:dyDescent="0.2">
      <c r="A183" s="2"/>
      <c r="B183" s="646"/>
      <c r="C183" s="646"/>
      <c r="D183" s="646"/>
      <c r="E183" s="646"/>
      <c r="F183" s="646"/>
      <c r="G183" s="646"/>
      <c r="H183" s="646"/>
      <c r="I183" s="646"/>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row>
    <row r="184" spans="1:65" x14ac:dyDescent="0.2">
      <c r="A184" s="2"/>
      <c r="B184" s="646"/>
      <c r="C184" s="646"/>
      <c r="D184" s="646"/>
      <c r="E184" s="646"/>
      <c r="F184" s="646"/>
      <c r="G184" s="646"/>
      <c r="H184" s="646"/>
      <c r="I184" s="646"/>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row>
    <row r="185" spans="1:65" x14ac:dyDescent="0.2">
      <c r="A185" s="2"/>
      <c r="B185" s="646"/>
      <c r="C185" s="646"/>
      <c r="D185" s="646"/>
      <c r="E185" s="646"/>
      <c r="F185" s="646"/>
      <c r="G185" s="646"/>
      <c r="H185" s="646"/>
      <c r="I185" s="646"/>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row>
    <row r="186" spans="1:65" x14ac:dyDescent="0.2">
      <c r="A186" s="2"/>
      <c r="B186" s="152"/>
      <c r="C186" s="97"/>
      <c r="D186" s="97"/>
      <c r="E186" s="97"/>
      <c r="F186" s="97"/>
      <c r="G186" s="97"/>
      <c r="H186" s="97"/>
      <c r="I186" s="97"/>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row>
    <row r="187" spans="1:65" x14ac:dyDescent="0.2">
      <c r="A187" s="2"/>
      <c r="B187" s="157" t="s">
        <v>189</v>
      </c>
      <c r="C187" s="97"/>
      <c r="D187" s="97"/>
      <c r="E187" s="97"/>
      <c r="F187" s="97"/>
      <c r="G187" s="97"/>
      <c r="H187" s="97"/>
      <c r="I187" s="97"/>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row>
    <row r="188" spans="1:65" x14ac:dyDescent="0.2">
      <c r="A188" s="2"/>
      <c r="B188" s="646" t="s">
        <v>190</v>
      </c>
      <c r="C188" s="646"/>
      <c r="D188" s="646"/>
      <c r="E188" s="646"/>
      <c r="F188" s="646"/>
      <c r="G188" s="646"/>
      <c r="H188" s="646"/>
      <c r="I188" s="646"/>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row>
    <row r="189" spans="1:65" x14ac:dyDescent="0.2">
      <c r="A189" s="2"/>
      <c r="B189" s="646"/>
      <c r="C189" s="646"/>
      <c r="D189" s="646"/>
      <c r="E189" s="646"/>
      <c r="F189" s="646"/>
      <c r="G189" s="646"/>
      <c r="H189" s="646"/>
      <c r="I189" s="646"/>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row>
    <row r="190" spans="1:65" x14ac:dyDescent="0.2">
      <c r="A190" s="2"/>
      <c r="B190" s="97"/>
      <c r="C190" s="97"/>
      <c r="D190" s="97"/>
      <c r="E190" s="97"/>
      <c r="F190" s="97"/>
      <c r="G190" s="97"/>
      <c r="H190" s="97"/>
      <c r="I190" s="97"/>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row>
    <row r="191" spans="1:65" x14ac:dyDescent="0.2">
      <c r="A191" s="2"/>
      <c r="B191" s="97"/>
      <c r="C191" s="115" t="s">
        <v>157</v>
      </c>
      <c r="D191" s="114" t="s">
        <v>159</v>
      </c>
      <c r="E191" s="114" t="s">
        <v>162</v>
      </c>
      <c r="F191" s="97"/>
      <c r="G191" s="97"/>
      <c r="H191" s="97"/>
      <c r="I191" s="97"/>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row>
    <row r="192" spans="1:65" ht="17" x14ac:dyDescent="0.2">
      <c r="A192" s="2"/>
      <c r="B192" s="97"/>
      <c r="C192" s="17" t="s">
        <v>158</v>
      </c>
      <c r="D192" s="16" t="s">
        <v>160</v>
      </c>
      <c r="E192" s="15" t="s">
        <v>161</v>
      </c>
      <c r="F192" s="97"/>
      <c r="G192" s="97"/>
      <c r="H192" s="97"/>
      <c r="I192" s="97"/>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row>
    <row r="193" spans="1:65" ht="17" x14ac:dyDescent="0.2">
      <c r="A193" s="2"/>
      <c r="B193" s="97"/>
      <c r="C193" s="13">
        <v>1</v>
      </c>
      <c r="D193" s="12" t="s">
        <v>163</v>
      </c>
      <c r="E193" s="174">
        <v>1</v>
      </c>
      <c r="F193" s="97"/>
      <c r="G193" s="97"/>
      <c r="H193" s="97"/>
      <c r="I193" s="97"/>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row>
    <row r="194" spans="1:65" x14ac:dyDescent="0.2">
      <c r="A194" s="2"/>
      <c r="B194" s="97"/>
      <c r="C194" s="11" t="s">
        <v>181</v>
      </c>
      <c r="D194" s="116">
        <f>F8</f>
        <v>43922</v>
      </c>
      <c r="E194" s="118">
        <f>E193*(1+G8)</f>
        <v>1.03</v>
      </c>
      <c r="F194" s="152" t="s">
        <v>186</v>
      </c>
      <c r="G194" s="97"/>
      <c r="H194" s="97"/>
      <c r="I194" s="97"/>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row>
    <row r="195" spans="1:65" x14ac:dyDescent="0.2">
      <c r="A195" s="2"/>
      <c r="B195" s="97"/>
      <c r="C195" s="88" t="s">
        <v>183</v>
      </c>
      <c r="D195" s="153">
        <f>F9</f>
        <v>44378</v>
      </c>
      <c r="E195" s="154">
        <f>E194*(1+G9)</f>
        <v>1.1536000000000002</v>
      </c>
      <c r="F195" s="97"/>
      <c r="G195" s="97"/>
      <c r="H195" s="97"/>
      <c r="I195" s="97"/>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row>
    <row r="196" spans="1:65" x14ac:dyDescent="0.2">
      <c r="A196" s="2"/>
      <c r="B196" s="97"/>
      <c r="C196" s="160" t="s">
        <v>182</v>
      </c>
      <c r="D196" s="161">
        <v>44562</v>
      </c>
      <c r="E196" s="162">
        <f>E194*(1-0.04)</f>
        <v>0.98880000000000001</v>
      </c>
      <c r="F196" s="152" t="s">
        <v>185</v>
      </c>
      <c r="G196" s="97"/>
      <c r="H196" s="97"/>
      <c r="I196" s="97"/>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row>
    <row r="197" spans="1:65" x14ac:dyDescent="0.2">
      <c r="A197" s="2"/>
      <c r="C197" s="163" t="s">
        <v>184</v>
      </c>
      <c r="D197" s="164">
        <v>44562</v>
      </c>
      <c r="E197" s="165">
        <f>E195*(1-0.04)</f>
        <v>1.1074560000000002</v>
      </c>
      <c r="F197" s="97"/>
      <c r="G197" s="97"/>
      <c r="H197" s="97"/>
      <c r="I197" s="97"/>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row>
    <row r="198" spans="1:65" x14ac:dyDescent="0.2">
      <c r="A198" s="2"/>
      <c r="B198" s="97"/>
      <c r="C198" s="11">
        <v>4</v>
      </c>
      <c r="D198" s="116">
        <f>F10</f>
        <v>44743</v>
      </c>
      <c r="E198" s="118">
        <f>E197*(1+G10)</f>
        <v>1.0853068800000001</v>
      </c>
      <c r="F198" s="97"/>
      <c r="G198" s="97"/>
      <c r="H198" s="97"/>
      <c r="I198" s="97"/>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row>
    <row r="199" spans="1:65" x14ac:dyDescent="0.2">
      <c r="A199" s="2"/>
      <c r="B199" s="97"/>
      <c r="C199" s="77"/>
      <c r="D199" s="116"/>
      <c r="E199" s="118"/>
      <c r="F199" s="97"/>
      <c r="G199" s="97"/>
      <c r="H199" s="97"/>
      <c r="I199" s="97"/>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row>
    <row r="200" spans="1:65" x14ac:dyDescent="0.2">
      <c r="A200" s="2"/>
      <c r="B200" s="97"/>
      <c r="C200" s="77"/>
      <c r="D200" s="116"/>
      <c r="E200" s="118"/>
      <c r="F200" s="97"/>
      <c r="G200" s="97"/>
      <c r="H200" s="97"/>
      <c r="I200" s="97"/>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row>
    <row r="201" spans="1:65" x14ac:dyDescent="0.2">
      <c r="A201" s="2"/>
      <c r="B201" s="97"/>
      <c r="C201" s="77"/>
      <c r="D201" s="116"/>
      <c r="E201" s="118"/>
      <c r="F201" s="97"/>
      <c r="G201" s="97"/>
      <c r="H201" s="97"/>
      <c r="I201" s="97"/>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row>
    <row r="202" spans="1:65" x14ac:dyDescent="0.2">
      <c r="A202" s="2"/>
      <c r="B202" s="97"/>
      <c r="C202" s="77"/>
      <c r="D202" s="116"/>
      <c r="E202" s="118"/>
      <c r="F202" s="97"/>
      <c r="G202" s="97"/>
      <c r="H202" s="97"/>
      <c r="I202" s="97"/>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row>
    <row r="203" spans="1:65" x14ac:dyDescent="0.2">
      <c r="A203" s="2"/>
      <c r="B203" s="97"/>
      <c r="C203" s="77"/>
      <c r="D203" s="116"/>
      <c r="E203" s="118"/>
      <c r="F203" s="97"/>
      <c r="G203" s="97"/>
      <c r="H203" s="97"/>
      <c r="I203" s="97"/>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row>
    <row r="204" spans="1:65" x14ac:dyDescent="0.2">
      <c r="A204" s="2"/>
      <c r="B204" s="97"/>
      <c r="C204" s="77"/>
      <c r="D204" s="116"/>
      <c r="E204" s="118"/>
      <c r="F204" s="97"/>
      <c r="G204" s="97"/>
      <c r="H204" s="97"/>
      <c r="I204" s="97"/>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row>
    <row r="205" spans="1:65" x14ac:dyDescent="0.2">
      <c r="A205" s="2"/>
      <c r="B205" s="97"/>
      <c r="C205" s="77"/>
      <c r="D205" s="116"/>
      <c r="E205" s="118"/>
      <c r="F205" s="97"/>
      <c r="G205" s="97"/>
      <c r="H205" s="97"/>
      <c r="I205" s="97"/>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row>
    <row r="206" spans="1:65" x14ac:dyDescent="0.2">
      <c r="A206" s="2"/>
      <c r="B206" s="97"/>
      <c r="C206" s="77"/>
      <c r="D206" s="116"/>
      <c r="E206" s="118"/>
      <c r="F206" s="97"/>
      <c r="G206" s="97"/>
      <c r="H206" s="97"/>
      <c r="I206" s="97"/>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row>
    <row r="207" spans="1:65" x14ac:dyDescent="0.2">
      <c r="A207" s="2"/>
      <c r="B207" s="97"/>
      <c r="C207" s="77"/>
      <c r="D207" s="116"/>
      <c r="E207" s="118"/>
      <c r="F207" s="97"/>
      <c r="G207" s="97"/>
      <c r="H207" s="97"/>
      <c r="I207" s="97"/>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row>
    <row r="208" spans="1:65" x14ac:dyDescent="0.2">
      <c r="A208" s="2"/>
      <c r="B208" s="97"/>
      <c r="C208" s="77"/>
      <c r="D208" s="116"/>
      <c r="E208" s="118"/>
      <c r="F208" s="97"/>
      <c r="G208" s="97"/>
      <c r="H208" s="97"/>
      <c r="I208" s="97"/>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row>
    <row r="209" spans="1:67" x14ac:dyDescent="0.2">
      <c r="A209" s="2"/>
      <c r="B209" s="97"/>
      <c r="C209" s="77"/>
      <c r="D209" s="116"/>
      <c r="E209" s="118"/>
      <c r="F209" s="97"/>
      <c r="G209" s="97"/>
      <c r="H209" s="97"/>
      <c r="I209" s="97"/>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row>
    <row r="210" spans="1:67" x14ac:dyDescent="0.2">
      <c r="A210" s="2"/>
      <c r="B210" s="97"/>
      <c r="C210" s="77"/>
      <c r="D210" s="116"/>
      <c r="E210" s="118"/>
      <c r="F210" s="97"/>
      <c r="G210" s="97"/>
      <c r="H210" s="97"/>
      <c r="I210" s="97"/>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row>
    <row r="211" spans="1:67" x14ac:dyDescent="0.2">
      <c r="A211" s="2"/>
      <c r="B211" s="97"/>
      <c r="C211" s="77"/>
      <c r="D211" s="116"/>
      <c r="E211" s="118"/>
      <c r="F211" s="97"/>
      <c r="G211" s="97"/>
      <c r="H211" s="97"/>
      <c r="I211" s="97"/>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row>
    <row r="212" spans="1:67" ht="17" thickBot="1" x14ac:dyDescent="0.25">
      <c r="A212" s="2"/>
      <c r="B212" s="97"/>
      <c r="C212" s="77"/>
      <c r="D212" s="116"/>
      <c r="E212" s="118"/>
      <c r="F212" s="97"/>
      <c r="G212" s="97"/>
      <c r="H212" s="97"/>
      <c r="I212" s="97"/>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row>
    <row r="213" spans="1:67" ht="17" thickBot="1" x14ac:dyDescent="0.25">
      <c r="A213" s="2"/>
      <c r="B213" s="97"/>
      <c r="C213" s="97"/>
      <c r="D213" s="97"/>
      <c r="E213" s="97"/>
      <c r="F213" s="97"/>
      <c r="G213" s="97"/>
      <c r="H213" s="97"/>
      <c r="I213" s="97"/>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row>
    <row r="214" spans="1:67" x14ac:dyDescent="0.2">
      <c r="A214" s="2"/>
      <c r="B214" s="416" t="s">
        <v>164</v>
      </c>
      <c r="C214" s="668" t="s">
        <v>166</v>
      </c>
      <c r="D214" s="669"/>
      <c r="E214" s="669"/>
      <c r="F214" s="669"/>
      <c r="G214" s="669"/>
      <c r="H214" s="670"/>
      <c r="I214" s="114" t="s">
        <v>167</v>
      </c>
      <c r="J214" s="147" t="s">
        <v>169</v>
      </c>
      <c r="K214" s="97"/>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row>
    <row r="215" spans="1:67" ht="17" x14ac:dyDescent="0.2">
      <c r="A215" s="2"/>
      <c r="B215" s="121" t="s">
        <v>10</v>
      </c>
      <c r="C215" s="123">
        <v>1</v>
      </c>
      <c r="D215" s="124" t="s">
        <v>181</v>
      </c>
      <c r="E215" s="155" t="s">
        <v>183</v>
      </c>
      <c r="F215" s="166" t="s">
        <v>182</v>
      </c>
      <c r="G215" s="167" t="s">
        <v>184</v>
      </c>
      <c r="H215" s="125">
        <v>4</v>
      </c>
      <c r="I215" s="124" t="s">
        <v>165</v>
      </c>
      <c r="J215" s="148" t="s">
        <v>170</v>
      </c>
      <c r="K215" s="97"/>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row>
    <row r="216" spans="1:67" x14ac:dyDescent="0.2">
      <c r="A216" s="2"/>
      <c r="B216" s="119">
        <v>2020</v>
      </c>
      <c r="C216" s="130">
        <f>1-D216</f>
        <v>0.71875</v>
      </c>
      <c r="D216" s="131">
        <f>0.5*0.75^2</f>
        <v>0.28125</v>
      </c>
      <c r="E216" s="158"/>
      <c r="F216" s="168"/>
      <c r="G216" s="169"/>
      <c r="H216" s="132"/>
      <c r="I216" s="136">
        <f>SUMPRODUCT(C216:H216,$C$219:$H$219)</f>
        <v>1.0084374999999999</v>
      </c>
      <c r="J216" s="149">
        <f>$H$219/I216</f>
        <v>1.0762262212581346</v>
      </c>
      <c r="K216" s="97"/>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row>
    <row r="217" spans="1:67" x14ac:dyDescent="0.2">
      <c r="A217" s="2"/>
      <c r="B217" s="120">
        <v>2021</v>
      </c>
      <c r="C217" s="130">
        <f>0.5*0.25^2</f>
        <v>3.125E-2</v>
      </c>
      <c r="D217" s="131">
        <f>1-C217-E217</f>
        <v>0.84375</v>
      </c>
      <c r="E217" s="158">
        <f>0.5*0.5^2</f>
        <v>0.125</v>
      </c>
      <c r="F217" s="168"/>
      <c r="G217" s="169"/>
      <c r="H217" s="132"/>
      <c r="I217" s="136">
        <f>SUMPRODUCT(C217:H217,$C$219:$H$219)</f>
        <v>1.0445125000000002</v>
      </c>
      <c r="J217" s="149">
        <f t="shared" ref="J217:J218" si="3">$H$219/I217</f>
        <v>1.0390559040700804</v>
      </c>
      <c r="K217" s="97"/>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row>
    <row r="218" spans="1:67" ht="17" thickBot="1" x14ac:dyDescent="0.25">
      <c r="A218" s="2"/>
      <c r="B218" s="129">
        <v>2022</v>
      </c>
      <c r="C218" s="133"/>
      <c r="D218" s="134"/>
      <c r="E218" s="159"/>
      <c r="F218" s="170">
        <f>0.5*0.5^2</f>
        <v>0.125</v>
      </c>
      <c r="G218" s="171">
        <f>1-F218-H218</f>
        <v>0.75</v>
      </c>
      <c r="H218" s="135">
        <f>0.5*0.5^2</f>
        <v>0.125</v>
      </c>
      <c r="I218" s="137">
        <f>SUMPRODUCT(C218:H218,$C$219:$H$219)</f>
        <v>1.0898553600000003</v>
      </c>
      <c r="J218" s="150">
        <f t="shared" si="3"/>
        <v>0.99582652876066036</v>
      </c>
      <c r="K218" s="97"/>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row>
    <row r="219" spans="1:67" x14ac:dyDescent="0.2">
      <c r="A219" s="2"/>
      <c r="B219" s="115" t="s">
        <v>165</v>
      </c>
      <c r="C219" s="126">
        <f>E193</f>
        <v>1</v>
      </c>
      <c r="D219" s="127">
        <f>E194</f>
        <v>1.03</v>
      </c>
      <c r="E219" s="156">
        <f>E195</f>
        <v>1.1536000000000002</v>
      </c>
      <c r="F219" s="172">
        <f>E196</f>
        <v>0.98880000000000001</v>
      </c>
      <c r="G219" s="173">
        <f>E197</f>
        <v>1.1074560000000002</v>
      </c>
      <c r="H219" s="128">
        <f>E198</f>
        <v>1.0853068800000001</v>
      </c>
      <c r="I219" s="114"/>
      <c r="J219" s="100"/>
      <c r="K219" s="97"/>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row>
    <row r="220" spans="1:67" x14ac:dyDescent="0.2">
      <c r="A220" s="2"/>
      <c r="B220" s="97"/>
      <c r="C220" s="97"/>
      <c r="D220" s="97"/>
      <c r="E220" s="97"/>
      <c r="F220" s="97"/>
      <c r="G220" s="97"/>
      <c r="H220" s="97"/>
      <c r="I220" s="97"/>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row>
    <row r="221" spans="1:67" ht="19" x14ac:dyDescent="0.25">
      <c r="A221" s="4" t="s">
        <v>2</v>
      </c>
      <c r="B221" s="100"/>
      <c r="C221" s="100"/>
      <c r="D221" s="100"/>
      <c r="E221" s="100"/>
      <c r="F221" s="100"/>
      <c r="G221" s="100"/>
      <c r="H221" s="100"/>
      <c r="I221" s="100"/>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row>
    <row r="222" spans="1:67" x14ac:dyDescent="0.2">
      <c r="A222" s="2"/>
      <c r="B222" s="646" t="s">
        <v>192</v>
      </c>
      <c r="C222" s="646"/>
      <c r="D222" s="646"/>
      <c r="E222" s="646"/>
      <c r="F222" s="646"/>
      <c r="G222" s="646"/>
      <c r="H222" s="646"/>
      <c r="I222" s="646"/>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row>
    <row r="223" spans="1:67" x14ac:dyDescent="0.2">
      <c r="A223" s="2"/>
      <c r="B223" s="646"/>
      <c r="C223" s="646"/>
      <c r="D223" s="646"/>
      <c r="E223" s="646"/>
      <c r="F223" s="646"/>
      <c r="G223" s="646"/>
      <c r="H223" s="646"/>
      <c r="I223" s="646"/>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row>
    <row r="224" spans="1:67" x14ac:dyDescent="0.2">
      <c r="A224" s="2"/>
      <c r="B224" s="646"/>
      <c r="C224" s="646"/>
      <c r="D224" s="646"/>
      <c r="E224" s="646"/>
      <c r="F224" s="646"/>
      <c r="G224" s="646"/>
      <c r="H224" s="646"/>
      <c r="I224" s="646"/>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row>
    <row r="225" spans="1:65" x14ac:dyDescent="0.2">
      <c r="A225" s="2"/>
      <c r="B225" s="646"/>
      <c r="C225" s="646"/>
      <c r="D225" s="646"/>
      <c r="E225" s="646"/>
      <c r="F225" s="646"/>
      <c r="G225" s="646"/>
      <c r="H225" s="646"/>
      <c r="I225" s="646"/>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row>
    <row r="226" spans="1:65" x14ac:dyDescent="0.2">
      <c r="A226" s="2"/>
      <c r="B226" s="646"/>
      <c r="C226" s="646"/>
      <c r="D226" s="646"/>
      <c r="E226" s="646"/>
      <c r="F226" s="646"/>
      <c r="G226" s="646"/>
      <c r="H226" s="646"/>
      <c r="I226" s="646"/>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row>
    <row r="227" spans="1:65" x14ac:dyDescent="0.2">
      <c r="A227" s="2"/>
      <c r="B227" s="646"/>
      <c r="C227" s="646"/>
      <c r="D227" s="646"/>
      <c r="E227" s="646"/>
      <c r="F227" s="646"/>
      <c r="G227" s="646"/>
      <c r="H227" s="646"/>
      <c r="I227" s="646"/>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row>
    <row r="228" spans="1:65" x14ac:dyDescent="0.2">
      <c r="A228" s="2"/>
      <c r="B228" s="646"/>
      <c r="C228" s="646"/>
      <c r="D228" s="646"/>
      <c r="E228" s="646"/>
      <c r="F228" s="646"/>
      <c r="G228" s="646"/>
      <c r="H228" s="646"/>
      <c r="I228" s="646"/>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row>
    <row r="229" spans="1:65" x14ac:dyDescent="0.2">
      <c r="A229" s="2"/>
      <c r="B229" s="646"/>
      <c r="C229" s="646"/>
      <c r="D229" s="646"/>
      <c r="E229" s="646"/>
      <c r="F229" s="646"/>
      <c r="G229" s="646"/>
      <c r="H229" s="646"/>
      <c r="I229" s="646"/>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row>
    <row r="230" spans="1:65" x14ac:dyDescent="0.2">
      <c r="A230" s="2"/>
      <c r="B230" s="100"/>
      <c r="C230" s="100"/>
      <c r="D230" s="100"/>
      <c r="E230" s="100"/>
      <c r="F230" s="100"/>
      <c r="G230" s="100"/>
      <c r="H230" s="100"/>
      <c r="I230" s="100"/>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row>
    <row r="231" spans="1:65" ht="19" x14ac:dyDescent="0.25">
      <c r="A231" s="4" t="s">
        <v>1</v>
      </c>
      <c r="B231" s="100"/>
      <c r="C231" s="100"/>
      <c r="D231" s="100"/>
      <c r="E231" s="100"/>
      <c r="F231" s="100"/>
      <c r="G231" s="100"/>
      <c r="H231" s="100"/>
      <c r="I231" s="100"/>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row>
    <row r="232" spans="1:65" x14ac:dyDescent="0.2">
      <c r="A232" s="2"/>
      <c r="B232" s="605" t="s">
        <v>558</v>
      </c>
      <c r="C232" s="100"/>
      <c r="D232" s="100"/>
      <c r="E232" s="100"/>
      <c r="F232" s="100"/>
      <c r="G232" s="100"/>
      <c r="H232" s="100"/>
      <c r="I232" s="100"/>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row>
    <row r="233" spans="1:65" x14ac:dyDescent="0.2">
      <c r="A233" s="2"/>
      <c r="B233" s="100"/>
      <c r="C233" s="100"/>
      <c r="D233" s="100"/>
      <c r="E233" s="100"/>
      <c r="F233" s="100"/>
      <c r="G233" s="100"/>
      <c r="H233" s="100"/>
      <c r="I233" s="100"/>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row>
    <row r="234" spans="1:65" ht="19" x14ac:dyDescent="0.25">
      <c r="A234" s="4" t="s">
        <v>0</v>
      </c>
      <c r="B234" s="100"/>
      <c r="C234" s="100"/>
      <c r="D234" s="100"/>
      <c r="E234" s="100"/>
      <c r="F234" s="100"/>
      <c r="G234" s="100"/>
      <c r="H234" s="100"/>
      <c r="I234" s="100"/>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row>
    <row r="235" spans="1:65" x14ac:dyDescent="0.2">
      <c r="A235" s="2"/>
      <c r="B235" s="605" t="s">
        <v>522</v>
      </c>
      <c r="C235" s="100"/>
      <c r="D235" s="100"/>
      <c r="E235" s="100"/>
      <c r="F235" s="100"/>
      <c r="G235" s="100"/>
      <c r="H235" s="100"/>
      <c r="I235" s="100"/>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row>
    <row r="236" spans="1:65" x14ac:dyDescent="0.2">
      <c r="A236" s="2"/>
      <c r="B236" s="605" t="s">
        <v>56</v>
      </c>
      <c r="C236" s="100"/>
      <c r="D236" s="100"/>
      <c r="E236" s="100"/>
      <c r="F236" s="100"/>
      <c r="G236" s="100"/>
      <c r="H236" s="100"/>
      <c r="I236" s="100"/>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row>
    <row r="237" spans="1:65" x14ac:dyDescent="0.2">
      <c r="A237" s="2"/>
      <c r="B237" s="605" t="s">
        <v>589</v>
      </c>
      <c r="C237" s="100"/>
      <c r="D237" s="100"/>
      <c r="E237" s="100"/>
      <c r="F237" s="100"/>
      <c r="G237" s="100"/>
      <c r="H237" s="100"/>
      <c r="I237" s="100"/>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row>
    <row r="238" spans="1:65" x14ac:dyDescent="0.2">
      <c r="A238" s="2"/>
      <c r="B238" s="605" t="s">
        <v>590</v>
      </c>
      <c r="C238" s="100"/>
      <c r="D238" s="100"/>
      <c r="E238" s="100"/>
      <c r="F238" s="100"/>
      <c r="G238" s="100"/>
      <c r="H238" s="100"/>
      <c r="I238" s="100"/>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row>
    <row r="239" spans="1:65" x14ac:dyDescent="0.2">
      <c r="A239" s="2"/>
      <c r="B239" s="605" t="s">
        <v>591</v>
      </c>
      <c r="C239" s="100"/>
      <c r="D239" s="100"/>
      <c r="E239" s="100"/>
      <c r="F239" s="100"/>
      <c r="G239" s="100"/>
      <c r="H239" s="100"/>
      <c r="I239" s="100"/>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row>
    <row r="240" spans="1:65" x14ac:dyDescent="0.2">
      <c r="A240" s="2"/>
      <c r="B240" s="623" t="s">
        <v>521</v>
      </c>
      <c r="C240" s="100"/>
      <c r="D240" s="100"/>
      <c r="E240" s="100"/>
      <c r="F240" s="100"/>
      <c r="G240" s="100"/>
      <c r="H240" s="100"/>
      <c r="I240" s="100"/>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row>
    <row r="241" spans="1:65" x14ac:dyDescent="0.2">
      <c r="A241" s="2"/>
      <c r="B241" s="605" t="s">
        <v>592</v>
      </c>
      <c r="C241" s="100"/>
      <c r="D241" s="100"/>
      <c r="E241" s="100"/>
      <c r="F241" s="100"/>
      <c r="G241" s="100"/>
      <c r="H241" s="100"/>
      <c r="I241" s="100"/>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row>
    <row r="242" spans="1:65" x14ac:dyDescent="0.2">
      <c r="A242" s="2"/>
      <c r="B242" s="100"/>
      <c r="C242" s="100"/>
      <c r="D242" s="100"/>
      <c r="E242" s="100"/>
      <c r="F242" s="100"/>
      <c r="G242" s="100"/>
      <c r="H242" s="100"/>
      <c r="I242" s="100"/>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row>
  </sheetData>
  <mergeCells count="20">
    <mergeCell ref="C108:F108"/>
    <mergeCell ref="B91:I93"/>
    <mergeCell ref="B134:I144"/>
    <mergeCell ref="B126:I131"/>
    <mergeCell ref="B117:I123"/>
    <mergeCell ref="C6:D6"/>
    <mergeCell ref="F6:G6"/>
    <mergeCell ref="B22:I23"/>
    <mergeCell ref="B69:I70"/>
    <mergeCell ref="B81:I82"/>
    <mergeCell ref="D60:G60"/>
    <mergeCell ref="B32:I33"/>
    <mergeCell ref="B78:I79"/>
    <mergeCell ref="B147:I153"/>
    <mergeCell ref="B175:I177"/>
    <mergeCell ref="B188:I189"/>
    <mergeCell ref="B180:I185"/>
    <mergeCell ref="B222:I229"/>
    <mergeCell ref="C168:F168"/>
    <mergeCell ref="C214:H214"/>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4AB51-1FE0-F64A-8AD0-020C77861346}">
  <sheetPr codeName="Sheet7"/>
  <dimension ref="A1:BM99"/>
  <sheetViews>
    <sheetView showGridLines="0" zoomScale="120" zoomScaleNormal="120" workbookViewId="0"/>
  </sheetViews>
  <sheetFormatPr baseColWidth="10" defaultColWidth="10.83203125" defaultRowHeight="16" x14ac:dyDescent="0.2"/>
  <cols>
    <col min="1" max="1" width="10.83203125" style="1"/>
    <col min="2" max="3" width="10.83203125" style="1" customWidth="1"/>
    <col min="4" max="4" width="12.1640625" style="1" customWidth="1"/>
    <col min="5" max="6" width="10.83203125" style="1" customWidth="1"/>
    <col min="7" max="7" width="11.1640625" style="1" customWidth="1"/>
    <col min="8" max="9" width="10.83203125" style="1"/>
    <col min="10" max="10" width="10.83203125" style="1" customWidth="1"/>
    <col min="11" max="16384" width="10.83203125" style="1"/>
  </cols>
  <sheetData>
    <row r="1" spans="1:49" ht="19" x14ac:dyDescent="0.25">
      <c r="A1" s="29" t="s">
        <v>271</v>
      </c>
      <c r="B1" s="98"/>
      <c r="C1" s="98"/>
      <c r="D1" s="98"/>
      <c r="E1" s="98"/>
      <c r="F1" s="98"/>
      <c r="G1" s="98"/>
      <c r="H1" s="98"/>
      <c r="I1" s="98"/>
      <c r="J1" s="99"/>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49" x14ac:dyDescent="0.2">
      <c r="A2" s="101"/>
      <c r="B2" s="98"/>
      <c r="C2" s="98"/>
      <c r="D2" s="98"/>
      <c r="E2" s="98"/>
      <c r="F2" s="98"/>
      <c r="G2" s="98"/>
      <c r="H2" s="98"/>
      <c r="I2" s="98"/>
      <c r="J2" s="99"/>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x14ac:dyDescent="0.2">
      <c r="A3" s="102"/>
      <c r="B3" s="28" t="s">
        <v>11</v>
      </c>
      <c r="C3" s="98"/>
      <c r="D3" s="98"/>
      <c r="E3" s="98"/>
      <c r="F3" s="98"/>
      <c r="G3" s="98"/>
      <c r="H3" s="98"/>
      <c r="I3" s="98"/>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row>
    <row r="4" spans="1:49" ht="16" customHeight="1" x14ac:dyDescent="0.2">
      <c r="A4" s="102"/>
      <c r="B4" s="219" t="s">
        <v>298</v>
      </c>
      <c r="C4" s="103"/>
      <c r="D4" s="103"/>
      <c r="E4" s="103"/>
      <c r="F4" s="103"/>
      <c r="G4" s="103"/>
      <c r="H4" s="103"/>
      <c r="I4" s="103"/>
      <c r="J4" s="99"/>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1:49" x14ac:dyDescent="0.2">
      <c r="A5" s="102"/>
      <c r="B5" s="98"/>
      <c r="C5" s="98"/>
      <c r="D5" s="98"/>
      <c r="E5" s="98"/>
      <c r="F5" s="98"/>
      <c r="G5" s="98"/>
      <c r="H5" s="98"/>
      <c r="I5" s="98"/>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x14ac:dyDescent="0.2">
      <c r="A6" s="102"/>
      <c r="B6" s="98"/>
      <c r="C6" s="673" t="s">
        <v>560</v>
      </c>
      <c r="D6" s="674"/>
      <c r="E6" s="674"/>
      <c r="F6" s="674"/>
      <c r="G6" s="653"/>
      <c r="H6" s="98"/>
      <c r="I6" s="98"/>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102"/>
      <c r="B7" s="98"/>
      <c r="C7" s="537" t="s">
        <v>69</v>
      </c>
      <c r="D7" s="511"/>
      <c r="E7" s="511"/>
      <c r="F7" s="511"/>
      <c r="G7" s="538" t="s">
        <v>285</v>
      </c>
      <c r="H7" s="98"/>
      <c r="I7" s="98"/>
      <c r="J7" s="99"/>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ht="16" customHeight="1" x14ac:dyDescent="0.2">
      <c r="A8" s="102"/>
      <c r="B8" s="98"/>
      <c r="C8" s="539" t="s">
        <v>10</v>
      </c>
      <c r="D8" s="217" t="s">
        <v>276</v>
      </c>
      <c r="E8" s="217" t="s">
        <v>273</v>
      </c>
      <c r="F8" s="217" t="s">
        <v>274</v>
      </c>
      <c r="G8" s="218" t="s">
        <v>275</v>
      </c>
      <c r="H8" s="98"/>
      <c r="I8" s="98"/>
      <c r="J8" s="99"/>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49" ht="16" customHeight="1" x14ac:dyDescent="0.2">
      <c r="A9" s="102"/>
      <c r="B9" s="98"/>
      <c r="C9" s="540">
        <v>2018</v>
      </c>
      <c r="D9" s="541">
        <v>3348</v>
      </c>
      <c r="E9" s="541">
        <v>6663</v>
      </c>
      <c r="F9" s="541">
        <v>6958</v>
      </c>
      <c r="G9" s="542">
        <v>6958</v>
      </c>
      <c r="H9" s="98"/>
      <c r="I9" s="98"/>
      <c r="J9" s="99"/>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ht="16" customHeight="1" x14ac:dyDescent="0.2">
      <c r="A10" s="102"/>
      <c r="B10" s="98"/>
      <c r="C10" s="482">
        <v>2019</v>
      </c>
      <c r="D10" s="541">
        <v>3481</v>
      </c>
      <c r="E10" s="541">
        <v>6725</v>
      </c>
      <c r="F10" s="541">
        <v>7315</v>
      </c>
      <c r="G10" s="542">
        <v>7315</v>
      </c>
      <c r="H10" s="98"/>
      <c r="I10" s="98"/>
      <c r="J10" s="99"/>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x14ac:dyDescent="0.2">
      <c r="A11" s="102"/>
      <c r="B11" s="98"/>
      <c r="C11" s="482">
        <v>2020</v>
      </c>
      <c r="D11" s="541">
        <v>3603</v>
      </c>
      <c r="E11" s="541">
        <v>6718</v>
      </c>
      <c r="F11" s="541">
        <v>6940</v>
      </c>
      <c r="G11" s="542"/>
      <c r="H11" s="98"/>
      <c r="I11" s="98"/>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x14ac:dyDescent="0.2">
      <c r="A12" s="102"/>
      <c r="B12" s="98"/>
      <c r="C12" s="482">
        <v>2021</v>
      </c>
      <c r="D12" s="541">
        <v>3711</v>
      </c>
      <c r="E12" s="541">
        <v>7076</v>
      </c>
      <c r="F12" s="541"/>
      <c r="G12" s="542"/>
      <c r="H12" s="98"/>
      <c r="I12" s="98"/>
      <c r="J12" s="99"/>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x14ac:dyDescent="0.2">
      <c r="A13" s="102"/>
      <c r="B13" s="98"/>
      <c r="C13" s="483">
        <v>2022</v>
      </c>
      <c r="D13" s="543">
        <v>3823</v>
      </c>
      <c r="E13" s="543"/>
      <c r="F13" s="543"/>
      <c r="G13" s="544"/>
      <c r="H13" s="98"/>
      <c r="I13" s="98"/>
      <c r="J13" s="99"/>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x14ac:dyDescent="0.2">
      <c r="A14" s="102"/>
      <c r="B14" s="98"/>
      <c r="C14" s="104"/>
      <c r="D14" s="104"/>
      <c r="E14" s="104"/>
      <c r="F14" s="98"/>
      <c r="G14" s="98"/>
      <c r="H14" s="98"/>
      <c r="I14" s="98"/>
      <c r="J14" s="9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x14ac:dyDescent="0.2">
      <c r="A15" s="102"/>
      <c r="B15" s="219" t="s">
        <v>291</v>
      </c>
      <c r="C15" s="104"/>
      <c r="D15" s="106"/>
      <c r="E15" s="104"/>
      <c r="F15" s="104"/>
      <c r="G15" s="104"/>
      <c r="H15" s="98"/>
      <c r="I15" s="98"/>
      <c r="J15" s="99"/>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x14ac:dyDescent="0.2">
      <c r="A16" s="102"/>
      <c r="B16" s="219" t="s">
        <v>292</v>
      </c>
      <c r="C16" s="104"/>
      <c r="D16" s="106"/>
      <c r="E16" s="104"/>
      <c r="F16" s="104"/>
      <c r="G16" s="104"/>
      <c r="H16" s="98"/>
      <c r="I16" s="98"/>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x14ac:dyDescent="0.2">
      <c r="A17" s="102"/>
      <c r="B17" s="98"/>
      <c r="C17" s="104"/>
      <c r="D17" s="104"/>
      <c r="E17" s="104"/>
      <c r="F17" s="98"/>
      <c r="G17" s="98"/>
      <c r="H17" s="98"/>
      <c r="I17" s="98"/>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ht="16" customHeight="1" x14ac:dyDescent="0.2">
      <c r="A18" s="102"/>
      <c r="B18" s="72" t="s">
        <v>277</v>
      </c>
      <c r="C18" s="107"/>
      <c r="D18" s="107"/>
      <c r="E18" s="107"/>
      <c r="F18" s="107"/>
      <c r="G18" s="107"/>
      <c r="H18" s="107"/>
      <c r="I18" s="107"/>
      <c r="J18" s="99"/>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ht="17" thickBot="1" x14ac:dyDescent="0.25">
      <c r="A19" s="108"/>
      <c r="B19" s="109"/>
      <c r="C19" s="110"/>
      <c r="D19" s="110"/>
      <c r="E19" s="110"/>
      <c r="F19" s="109"/>
      <c r="G19" s="109"/>
      <c r="H19" s="109"/>
      <c r="I19" s="109"/>
      <c r="J19" s="111"/>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x14ac:dyDescent="0.2">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ht="19" x14ac:dyDescent="0.25">
      <c r="A21" s="4" t="s">
        <v>9</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ht="16" customHeight="1" x14ac:dyDescent="0.2">
      <c r="A22" s="6" t="s">
        <v>8</v>
      </c>
      <c r="B22" s="7" t="s">
        <v>294</v>
      </c>
      <c r="C22" s="7"/>
      <c r="D22" s="7"/>
      <c r="E22" s="7"/>
      <c r="F22" s="7"/>
      <c r="G22" s="7"/>
      <c r="H22" s="7"/>
      <c r="I22" s="7"/>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ht="16" customHeight="1" x14ac:dyDescent="0.2">
      <c r="A23" s="6"/>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ht="16" customHeight="1" x14ac:dyDescent="0.2">
      <c r="A24" s="6"/>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ht="16" customHeight="1" x14ac:dyDescent="0.2">
      <c r="A25" s="6"/>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ht="16" customHeight="1" x14ac:dyDescent="0.2">
      <c r="A26" s="6"/>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ht="16" customHeight="1" x14ac:dyDescent="0.2">
      <c r="A27" s="6" t="s">
        <v>7</v>
      </c>
      <c r="B27" s="632" t="s">
        <v>299</v>
      </c>
      <c r="C27" s="632"/>
      <c r="D27" s="632"/>
      <c r="E27" s="632"/>
      <c r="F27" s="632"/>
      <c r="G27" s="632"/>
      <c r="H27" s="632"/>
      <c r="I27" s="632"/>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ht="16" customHeight="1" x14ac:dyDescent="0.2">
      <c r="A28" s="6"/>
      <c r="B28" s="632"/>
      <c r="C28" s="632"/>
      <c r="D28" s="632"/>
      <c r="E28" s="632"/>
      <c r="F28" s="632"/>
      <c r="G28" s="632"/>
      <c r="H28" s="632"/>
      <c r="I28" s="632"/>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ht="16" customHeight="1" x14ac:dyDescent="0.2">
      <c r="A29" s="6"/>
      <c r="B29" s="632"/>
      <c r="C29" s="632"/>
      <c r="D29" s="632"/>
      <c r="E29" s="632"/>
      <c r="F29" s="632"/>
      <c r="G29" s="632"/>
      <c r="H29" s="632"/>
      <c r="I29" s="632"/>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ht="16" customHeight="1" x14ac:dyDescent="0.2">
      <c r="A30" s="6"/>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ht="16" customHeight="1" x14ac:dyDescent="0.2">
      <c r="A31" s="6"/>
      <c r="B31" s="100"/>
      <c r="C31" s="649" t="s">
        <v>293</v>
      </c>
      <c r="D31" s="649"/>
      <c r="E31" s="649"/>
      <c r="F31" s="649"/>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ht="16" customHeight="1" x14ac:dyDescent="0.2">
      <c r="A32" s="6"/>
      <c r="B32" s="100"/>
      <c r="C32" s="220" t="s">
        <v>69</v>
      </c>
      <c r="D32" s="221"/>
      <c r="E32" s="221"/>
      <c r="F32" s="100"/>
      <c r="G32" s="100"/>
      <c r="H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ht="16" customHeight="1" x14ac:dyDescent="0.2">
      <c r="A33" s="6"/>
      <c r="B33" s="100"/>
      <c r="C33" s="222" t="s">
        <v>10</v>
      </c>
      <c r="D33" s="223" t="s">
        <v>278</v>
      </c>
      <c r="E33" s="224" t="s">
        <v>279</v>
      </c>
      <c r="F33" s="224" t="s">
        <v>280</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ht="16" customHeight="1" x14ac:dyDescent="0.2">
      <c r="A34" s="6"/>
      <c r="B34" s="100"/>
      <c r="C34" s="225">
        <v>2018</v>
      </c>
      <c r="D34" s="226">
        <f t="shared" ref="D34:F35" si="0">E9/D9</f>
        <v>1.9901433691756272</v>
      </c>
      <c r="E34" s="226">
        <f t="shared" si="0"/>
        <v>1.0442743508929913</v>
      </c>
      <c r="F34" s="226">
        <f t="shared" si="0"/>
        <v>1</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ht="16" customHeight="1" x14ac:dyDescent="0.2">
      <c r="A35" s="6"/>
      <c r="B35" s="100"/>
      <c r="C35" s="227">
        <v>2019</v>
      </c>
      <c r="D35" s="226">
        <f t="shared" si="0"/>
        <v>1.9319161160586038</v>
      </c>
      <c r="E35" s="226">
        <f t="shared" si="0"/>
        <v>1.087732342007435</v>
      </c>
      <c r="F35" s="226">
        <f t="shared" si="0"/>
        <v>1</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ht="16" customHeight="1" x14ac:dyDescent="0.2">
      <c r="A36" s="6"/>
      <c r="B36" s="100"/>
      <c r="C36" s="227">
        <v>2020</v>
      </c>
      <c r="D36" s="226">
        <f>E11/D11</f>
        <v>1.8645573133499862</v>
      </c>
      <c r="E36" s="226">
        <f>F11/E11</f>
        <v>1.0330455492706163</v>
      </c>
      <c r="F36" s="238"/>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ht="16" customHeight="1" x14ac:dyDescent="0.2">
      <c r="A37" s="6"/>
      <c r="B37" s="100"/>
      <c r="C37" s="227">
        <v>2021</v>
      </c>
      <c r="D37" s="226">
        <f>E12/D12</f>
        <v>1.9067636755591484</v>
      </c>
      <c r="E37" s="226" t="s">
        <v>272</v>
      </c>
      <c r="F37" s="238"/>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ht="16" customHeight="1" x14ac:dyDescent="0.2">
      <c r="A38" s="6"/>
      <c r="B38" s="100"/>
      <c r="C38" s="100"/>
      <c r="D38" s="114"/>
      <c r="E38" s="114"/>
      <c r="F38" s="114"/>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ht="16" customHeight="1" x14ac:dyDescent="0.2">
      <c r="A39" s="6"/>
      <c r="B39" s="100"/>
      <c r="C39" s="229" t="s">
        <v>283</v>
      </c>
      <c r="D39" s="239">
        <f>AVERAGE(D34:D37)</f>
        <v>1.9233451185358414</v>
      </c>
      <c r="E39" s="239">
        <f>AVERAGE(E34:E36)</f>
        <v>1.0550174140570141</v>
      </c>
      <c r="F39" s="239">
        <f>AVERAGE(F34:F35)</f>
        <v>1</v>
      </c>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ht="16" customHeight="1" x14ac:dyDescent="0.2">
      <c r="A40" s="6"/>
      <c r="B40" s="100"/>
      <c r="C40" s="229" t="s">
        <v>281</v>
      </c>
      <c r="D40" s="239">
        <f>SUM(E9:E12)/SUM(D9:D12)</f>
        <v>1.9219401824223998</v>
      </c>
      <c r="E40" s="239">
        <f>SUM(F9:F11)/SUM(E9:E11)</f>
        <v>1.0550581915846016</v>
      </c>
      <c r="F40" s="239">
        <f>SUM(G9:G10)/SUM(F9:F10)</f>
        <v>1</v>
      </c>
      <c r="G40" s="100"/>
      <c r="H40" s="100"/>
      <c r="I40" s="100"/>
      <c r="J40" s="100"/>
      <c r="K40" s="100"/>
      <c r="L40" s="2"/>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ht="16" customHeight="1" x14ac:dyDescent="0.2">
      <c r="A41" s="6"/>
      <c r="B41" s="100"/>
      <c r="C41" s="230"/>
      <c r="D41" s="114"/>
      <c r="E41" s="114"/>
      <c r="F41" s="114"/>
      <c r="G41" s="100"/>
      <c r="H41" s="100"/>
      <c r="I41" s="100"/>
      <c r="J41" s="100"/>
      <c r="K41" s="100"/>
      <c r="L41" s="2"/>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ht="16" customHeight="1" x14ac:dyDescent="0.2">
      <c r="A42" s="6"/>
      <c r="B42" s="100"/>
      <c r="C42" s="231" t="s">
        <v>282</v>
      </c>
      <c r="D42" s="240">
        <v>1.9219999999999999</v>
      </c>
      <c r="E42" s="240">
        <v>1.0549999999999999</v>
      </c>
      <c r="F42" s="240">
        <v>1</v>
      </c>
      <c r="G42" s="100"/>
      <c r="H42" s="100"/>
      <c r="I42" s="100"/>
      <c r="J42" s="100"/>
      <c r="K42" s="100"/>
      <c r="L42" s="2"/>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5" spans="1:49" ht="16" customHeight="1" x14ac:dyDescent="0.2">
      <c r="A45" s="6" t="s">
        <v>6</v>
      </c>
      <c r="B45" s="632" t="s">
        <v>295</v>
      </c>
      <c r="C45" s="632"/>
      <c r="D45" s="632"/>
      <c r="E45" s="632"/>
      <c r="F45" s="632"/>
      <c r="G45" s="632"/>
      <c r="H45" s="632"/>
      <c r="I45" s="632"/>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ht="16" customHeight="1" x14ac:dyDescent="0.2">
      <c r="A46" s="6"/>
      <c r="B46" s="632"/>
      <c r="C46" s="632"/>
      <c r="D46" s="632"/>
      <c r="E46" s="632"/>
      <c r="F46" s="632"/>
      <c r="G46" s="632"/>
      <c r="H46" s="632"/>
      <c r="I46" s="632"/>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ht="16" customHeight="1" x14ac:dyDescent="0.2">
      <c r="A47" s="6"/>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ht="16" customHeight="1" x14ac:dyDescent="0.2">
      <c r="A48" s="6"/>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ht="16" customHeight="1" x14ac:dyDescent="0.2">
      <c r="A49" s="6"/>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ht="16" customHeight="1" x14ac:dyDescent="0.2">
      <c r="A50" s="6"/>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ht="16" customHeight="1" x14ac:dyDescent="0.2">
      <c r="A51" s="6"/>
      <c r="B51" s="235"/>
      <c r="C51" s="222"/>
      <c r="D51" s="223" t="s">
        <v>288</v>
      </c>
      <c r="E51" s="224" t="s">
        <v>289</v>
      </c>
      <c r="F51" s="224" t="s">
        <v>290</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ht="16" customHeight="1" x14ac:dyDescent="0.2">
      <c r="A52" s="6"/>
      <c r="B52" s="100"/>
      <c r="C52" s="229" t="s">
        <v>287</v>
      </c>
      <c r="D52" s="226">
        <f>D42*E52</f>
        <v>2.0277099999999999</v>
      </c>
      <c r="E52" s="226">
        <f>E42*F52</f>
        <v>1.0549999999999999</v>
      </c>
      <c r="F52" s="226">
        <f>F42</f>
        <v>1</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ht="16" customHeight="1" x14ac:dyDescent="0.2">
      <c r="A53" s="6"/>
      <c r="B53" s="100"/>
      <c r="C53" s="100"/>
      <c r="D53" s="100"/>
      <c r="E53" s="100"/>
      <c r="F53" s="100"/>
      <c r="G53" s="100"/>
      <c r="H53" s="100"/>
      <c r="I53" s="100"/>
      <c r="J53" s="100"/>
      <c r="K53" s="100"/>
      <c r="L53" s="2"/>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ht="16" customHeight="1" x14ac:dyDescent="0.2">
      <c r="A54" s="6" t="s">
        <v>5</v>
      </c>
      <c r="B54" s="632" t="s">
        <v>296</v>
      </c>
      <c r="C54" s="632"/>
      <c r="D54" s="632"/>
      <c r="E54" s="632"/>
      <c r="F54" s="632"/>
      <c r="G54" s="632"/>
      <c r="H54" s="632"/>
      <c r="I54" s="632"/>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ht="16" customHeight="1" x14ac:dyDescent="0.2">
      <c r="A55" s="6"/>
      <c r="B55" s="632"/>
      <c r="C55" s="632"/>
      <c r="D55" s="632"/>
      <c r="E55" s="632"/>
      <c r="F55" s="632"/>
      <c r="G55" s="632"/>
      <c r="H55" s="632"/>
      <c r="I55" s="632"/>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ht="16" customHeight="1" x14ac:dyDescent="0.2">
      <c r="A56" s="6"/>
      <c r="B56" s="100"/>
      <c r="C56" s="100"/>
      <c r="D56" s="100"/>
      <c r="E56" s="100"/>
      <c r="F56" s="100"/>
      <c r="G56" s="100"/>
      <c r="H56" s="100"/>
      <c r="I56" s="7"/>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ht="16" customHeight="1" x14ac:dyDescent="0.2">
      <c r="A57" s="6"/>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ht="16" customHeight="1" x14ac:dyDescent="0.2">
      <c r="A58" s="6"/>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ht="16" customHeight="1" thickBot="1" x14ac:dyDescent="0.25">
      <c r="A59" s="6"/>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49" ht="16" customHeight="1" x14ac:dyDescent="0.2">
      <c r="A60" s="6"/>
      <c r="B60" s="100"/>
      <c r="C60" s="220" t="s">
        <v>69</v>
      </c>
      <c r="D60" s="234" t="s">
        <v>171</v>
      </c>
      <c r="E60" s="236" t="s">
        <v>286</v>
      </c>
      <c r="F60" s="241" t="s">
        <v>285</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ht="16" customHeight="1" x14ac:dyDescent="0.2">
      <c r="A61" s="6"/>
      <c r="B61" s="100"/>
      <c r="C61" s="222" t="s">
        <v>10</v>
      </c>
      <c r="D61" s="232" t="s">
        <v>284</v>
      </c>
      <c r="E61" s="237" t="s">
        <v>170</v>
      </c>
      <c r="F61" s="242" t="s">
        <v>171</v>
      </c>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ht="16" customHeight="1" x14ac:dyDescent="0.2">
      <c r="A62" s="6"/>
      <c r="B62" s="100"/>
      <c r="C62" s="225">
        <v>2018</v>
      </c>
      <c r="D62" s="233">
        <f>G9</f>
        <v>6958</v>
      </c>
      <c r="E62" s="238">
        <v>1</v>
      </c>
      <c r="F62" s="243">
        <f>E62*D62</f>
        <v>6958</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ht="16" customHeight="1" x14ac:dyDescent="0.2">
      <c r="A63" s="6"/>
      <c r="B63" s="100"/>
      <c r="C63" s="227">
        <v>2019</v>
      </c>
      <c r="D63" s="233">
        <f>G10</f>
        <v>7315</v>
      </c>
      <c r="E63" s="238">
        <v>1</v>
      </c>
      <c r="F63" s="243">
        <f t="shared" ref="F63:F66" si="1">E63*D63</f>
        <v>7315</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ht="16" customHeight="1" x14ac:dyDescent="0.2">
      <c r="A64" s="6"/>
      <c r="B64" s="7"/>
      <c r="C64" s="227">
        <v>2020</v>
      </c>
      <c r="D64" s="233">
        <f>F11</f>
        <v>6940</v>
      </c>
      <c r="E64" s="238">
        <f>F52</f>
        <v>1</v>
      </c>
      <c r="F64" s="243">
        <f t="shared" si="1"/>
        <v>6940</v>
      </c>
      <c r="G64" s="7"/>
      <c r="H64" s="7"/>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65" ht="16" customHeight="1" x14ac:dyDescent="0.2">
      <c r="A65" s="6"/>
      <c r="B65" s="7"/>
      <c r="C65" s="227">
        <v>2021</v>
      </c>
      <c r="D65" s="233">
        <f>E12</f>
        <v>7076</v>
      </c>
      <c r="E65" s="238">
        <f>E52</f>
        <v>1.0549999999999999</v>
      </c>
      <c r="F65" s="243">
        <f t="shared" si="1"/>
        <v>7465.1799999999994</v>
      </c>
      <c r="G65" s="7"/>
      <c r="H65" s="7"/>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65" ht="16" customHeight="1" thickBot="1" x14ac:dyDescent="0.25">
      <c r="A66" s="6"/>
      <c r="B66" s="7"/>
      <c r="C66" s="227">
        <v>2022</v>
      </c>
      <c r="D66" s="233">
        <f>D13</f>
        <v>3823</v>
      </c>
      <c r="E66" s="238">
        <f>D52</f>
        <v>2.0277099999999999</v>
      </c>
      <c r="F66" s="244">
        <f t="shared" si="1"/>
        <v>7751.9353299999993</v>
      </c>
      <c r="G66" s="7"/>
      <c r="H66" s="7"/>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65" ht="16" customHeight="1" x14ac:dyDescent="0.2">
      <c r="A67" s="6"/>
      <c r="B67" s="7"/>
      <c r="C67" s="7"/>
      <c r="D67" s="7"/>
      <c r="E67" s="7"/>
      <c r="F67" s="7"/>
      <c r="G67" s="7"/>
      <c r="H67" s="7"/>
      <c r="I67" s="100"/>
      <c r="J67" s="100"/>
      <c r="K67" s="100"/>
      <c r="L67" s="2"/>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65" ht="16" customHeight="1" x14ac:dyDescent="0.2">
      <c r="A68" s="6"/>
      <c r="B68" s="7" t="s">
        <v>242</v>
      </c>
      <c r="C68" s="7"/>
      <c r="D68" s="7"/>
      <c r="E68" s="7"/>
      <c r="F68" s="7"/>
      <c r="G68" s="7"/>
      <c r="H68" s="7"/>
      <c r="I68" s="100"/>
      <c r="J68" s="100"/>
      <c r="K68" s="100"/>
      <c r="L68" s="2"/>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65" ht="16" customHeight="1" x14ac:dyDescent="0.2">
      <c r="A69" s="6"/>
      <c r="B69" s="228" t="s">
        <v>297</v>
      </c>
      <c r="C69" s="7"/>
      <c r="D69" s="7"/>
      <c r="E69" s="7"/>
      <c r="F69" s="7"/>
      <c r="G69" s="7"/>
      <c r="H69" s="7"/>
      <c r="I69" s="100"/>
      <c r="J69" s="100"/>
      <c r="K69" s="100"/>
      <c r="L69" s="2"/>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65" ht="16" customHeight="1" x14ac:dyDescent="0.2">
      <c r="A70" s="6"/>
      <c r="B70" s="7"/>
      <c r="C70" s="7"/>
      <c r="D70" s="7"/>
      <c r="E70" s="7"/>
      <c r="F70" s="7"/>
      <c r="G70" s="7"/>
      <c r="H70" s="7"/>
      <c r="I70" s="100"/>
      <c r="J70" s="100"/>
      <c r="K70" s="100"/>
      <c r="L70" s="2"/>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65" ht="19" x14ac:dyDescent="0.25">
      <c r="A71" s="4" t="s">
        <v>3</v>
      </c>
      <c r="B71" s="100"/>
      <c r="C71" s="100"/>
      <c r="D71" s="100"/>
      <c r="E71" s="100"/>
      <c r="F71" s="100"/>
      <c r="G71" s="100"/>
      <c r="H71" s="100"/>
      <c r="I71" s="100"/>
      <c r="J71" s="100"/>
      <c r="K71" s="100"/>
      <c r="L71" s="2"/>
      <c r="M71" s="2"/>
      <c r="N71" s="2"/>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65" ht="16" customHeight="1" x14ac:dyDescent="0.2">
      <c r="A72" s="2"/>
      <c r="B72" s="650" t="s">
        <v>562</v>
      </c>
      <c r="C72" s="672"/>
      <c r="D72" s="672"/>
      <c r="E72" s="672"/>
      <c r="F72" s="672"/>
      <c r="G72" s="672"/>
      <c r="H72" s="672"/>
      <c r="I72" s="67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x14ac:dyDescent="0.2">
      <c r="A73" s="2"/>
      <c r="B73" s="672"/>
      <c r="C73" s="672"/>
      <c r="D73" s="672"/>
      <c r="E73" s="672"/>
      <c r="F73" s="672"/>
      <c r="G73" s="672"/>
      <c r="H73" s="672"/>
      <c r="I73" s="67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x14ac:dyDescent="0.2">
      <c r="A74" s="2"/>
      <c r="B74" s="672"/>
      <c r="C74" s="672"/>
      <c r="D74" s="672"/>
      <c r="E74" s="672"/>
      <c r="F74" s="672"/>
      <c r="G74" s="672"/>
      <c r="H74" s="672"/>
      <c r="I74" s="67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x14ac:dyDescent="0.2">
      <c r="A75" s="2"/>
      <c r="B75" s="672"/>
      <c r="C75" s="672"/>
      <c r="D75" s="672"/>
      <c r="E75" s="672"/>
      <c r="F75" s="672"/>
      <c r="G75" s="672"/>
      <c r="H75" s="672"/>
      <c r="I75" s="67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x14ac:dyDescent="0.2">
      <c r="A76" s="2"/>
      <c r="B76" s="672"/>
      <c r="C76" s="672"/>
      <c r="D76" s="672"/>
      <c r="E76" s="672"/>
      <c r="F76" s="672"/>
      <c r="G76" s="672"/>
      <c r="H76" s="672"/>
      <c r="I76" s="67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x14ac:dyDescent="0.2">
      <c r="A77" s="2"/>
      <c r="B77" s="672"/>
      <c r="C77" s="672"/>
      <c r="D77" s="672"/>
      <c r="E77" s="672"/>
      <c r="F77" s="672"/>
      <c r="G77" s="672"/>
      <c r="H77" s="672"/>
      <c r="I77" s="67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65" x14ac:dyDescent="0.2">
      <c r="A78" s="2"/>
      <c r="B78" s="672"/>
      <c r="C78" s="672"/>
      <c r="D78" s="672"/>
      <c r="E78" s="672"/>
      <c r="F78" s="672"/>
      <c r="G78" s="672"/>
      <c r="H78" s="672"/>
      <c r="I78" s="67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x14ac:dyDescent="0.2">
      <c r="A79" s="2"/>
      <c r="B79" s="672"/>
      <c r="C79" s="672"/>
      <c r="D79" s="672"/>
      <c r="E79" s="672"/>
      <c r="F79" s="672"/>
      <c r="G79" s="672"/>
      <c r="H79" s="672"/>
      <c r="I79" s="67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65" x14ac:dyDescent="0.2">
      <c r="A80" s="2"/>
      <c r="B80" s="672"/>
      <c r="C80" s="672"/>
      <c r="D80" s="672"/>
      <c r="E80" s="672"/>
      <c r="F80" s="672"/>
      <c r="G80" s="672"/>
      <c r="H80" s="672"/>
      <c r="I80" s="67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1:65" x14ac:dyDescent="0.2">
      <c r="A81" s="2"/>
      <c r="B81" s="672"/>
      <c r="C81" s="672"/>
      <c r="D81" s="672"/>
      <c r="E81" s="672"/>
      <c r="F81" s="672"/>
      <c r="G81" s="672"/>
      <c r="H81" s="672"/>
      <c r="I81" s="67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1:65" x14ac:dyDescent="0.2">
      <c r="A82" s="2"/>
      <c r="B82" s="672"/>
      <c r="C82" s="672"/>
      <c r="D82" s="672"/>
      <c r="E82" s="672"/>
      <c r="F82" s="672"/>
      <c r="G82" s="672"/>
      <c r="H82" s="672"/>
      <c r="I82" s="67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65" x14ac:dyDescent="0.2">
      <c r="A83" s="2"/>
      <c r="B83" s="672"/>
      <c r="C83" s="672"/>
      <c r="D83" s="672"/>
      <c r="E83" s="672"/>
      <c r="F83" s="672"/>
      <c r="G83" s="672"/>
      <c r="H83" s="672"/>
      <c r="I83" s="67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1:65" x14ac:dyDescent="0.2">
      <c r="A84" s="2"/>
      <c r="B84" s="672"/>
      <c r="C84" s="672"/>
      <c r="D84" s="672"/>
      <c r="E84" s="672"/>
      <c r="F84" s="672"/>
      <c r="G84" s="672"/>
      <c r="H84" s="672"/>
      <c r="I84" s="67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1:65" x14ac:dyDescent="0.2">
      <c r="A85" s="2"/>
      <c r="B85" s="672"/>
      <c r="C85" s="672"/>
      <c r="D85" s="672"/>
      <c r="E85" s="672"/>
      <c r="F85" s="672"/>
      <c r="G85" s="672"/>
      <c r="H85" s="672"/>
      <c r="I85" s="67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x14ac:dyDescent="0.2">
      <c r="A86" s="2"/>
      <c r="B86" s="672"/>
      <c r="C86" s="672"/>
      <c r="D86" s="672"/>
      <c r="E86" s="672"/>
      <c r="F86" s="672"/>
      <c r="G86" s="672"/>
      <c r="H86" s="672"/>
      <c r="I86" s="67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1:65" x14ac:dyDescent="0.2">
      <c r="A87" s="2"/>
      <c r="B87" s="672"/>
      <c r="C87" s="672"/>
      <c r="D87" s="672"/>
      <c r="E87" s="672"/>
      <c r="F87" s="672"/>
      <c r="G87" s="672"/>
      <c r="H87" s="672"/>
      <c r="I87" s="67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x14ac:dyDescent="0.2">
      <c r="A88" s="2"/>
      <c r="B88" s="100"/>
      <c r="C88" s="100"/>
      <c r="D88" s="100"/>
      <c r="E88" s="100"/>
      <c r="F88" s="100"/>
      <c r="G88" s="100"/>
      <c r="H88" s="100"/>
      <c r="I88" s="100"/>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9" x14ac:dyDescent="0.25">
      <c r="A89" s="4" t="s">
        <v>1</v>
      </c>
      <c r="B89" s="100"/>
      <c r="C89" s="100"/>
      <c r="D89" s="100"/>
      <c r="E89" s="100"/>
      <c r="F89" s="100"/>
      <c r="G89" s="100"/>
      <c r="H89" s="100"/>
      <c r="I89" s="100"/>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x14ac:dyDescent="0.2">
      <c r="A90" s="2"/>
      <c r="B90" s="605" t="s">
        <v>561</v>
      </c>
      <c r="C90" s="100"/>
      <c r="D90" s="100"/>
      <c r="E90" s="100"/>
      <c r="F90" s="100"/>
      <c r="G90" s="100"/>
      <c r="H90" s="100"/>
      <c r="I90" s="100"/>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x14ac:dyDescent="0.2">
      <c r="A91" s="2"/>
      <c r="B91" s="100"/>
      <c r="C91" s="100"/>
      <c r="D91" s="100"/>
      <c r="E91" s="100"/>
      <c r="F91" s="100"/>
      <c r="G91" s="100"/>
      <c r="H91" s="100"/>
      <c r="I91" s="100"/>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9" x14ac:dyDescent="0.25">
      <c r="A92" s="4" t="s">
        <v>0</v>
      </c>
      <c r="B92" s="100"/>
      <c r="C92" s="100"/>
      <c r="D92" s="100"/>
      <c r="E92" s="100"/>
      <c r="F92" s="100"/>
      <c r="G92" s="100"/>
      <c r="H92" s="100"/>
      <c r="I92" s="100"/>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x14ac:dyDescent="0.2">
      <c r="A93" s="2"/>
      <c r="B93"/>
      <c r="C93" s="100"/>
      <c r="D93" s="100"/>
      <c r="E93" s="100"/>
      <c r="F93" s="100"/>
      <c r="G93" s="100"/>
      <c r="H93" s="100"/>
      <c r="I93" s="100"/>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x14ac:dyDescent="0.2">
      <c r="A94" s="2"/>
      <c r="B94" s="100"/>
      <c r="C94" s="100"/>
      <c r="D94" s="100"/>
      <c r="E94" s="100"/>
      <c r="F94" s="100"/>
      <c r="G94" s="100"/>
      <c r="H94" s="100"/>
      <c r="I94" s="100"/>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x14ac:dyDescent="0.2">
      <c r="A95" s="2"/>
      <c r="B95" s="100"/>
      <c r="C95" s="100"/>
      <c r="D95" s="100"/>
      <c r="E95" s="100"/>
      <c r="F95" s="100"/>
      <c r="G95" s="100"/>
      <c r="H95" s="100"/>
      <c r="I95" s="100"/>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x14ac:dyDescent="0.2">
      <c r="A96" s="2"/>
      <c r="B96" s="100"/>
      <c r="C96" s="100"/>
      <c r="D96" s="100"/>
      <c r="E96" s="100"/>
      <c r="F96" s="100"/>
      <c r="G96" s="100"/>
      <c r="H96" s="100"/>
      <c r="I96" s="100"/>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x14ac:dyDescent="0.2">
      <c r="A97" s="2"/>
      <c r="B97" s="100"/>
      <c r="C97" s="100"/>
      <c r="D97" s="100"/>
      <c r="E97" s="100"/>
      <c r="F97" s="100"/>
      <c r="G97" s="100"/>
      <c r="H97" s="100"/>
      <c r="I97" s="100"/>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x14ac:dyDescent="0.2">
      <c r="A98" s="2"/>
      <c r="B98" s="100"/>
      <c r="C98" s="100"/>
      <c r="D98" s="100"/>
      <c r="E98" s="100"/>
      <c r="F98" s="100"/>
      <c r="G98" s="100"/>
      <c r="H98" s="100"/>
      <c r="I98" s="100"/>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x14ac:dyDescent="0.2">
      <c r="A99" s="2"/>
      <c r="B99" s="100"/>
      <c r="C99" s="100"/>
      <c r="D99" s="100"/>
      <c r="E99" s="100"/>
      <c r="F99" s="100"/>
      <c r="G99" s="100"/>
      <c r="H99" s="100"/>
      <c r="I99" s="100"/>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sheetData>
  <mergeCells count="6">
    <mergeCell ref="B72:I87"/>
    <mergeCell ref="B27:I29"/>
    <mergeCell ref="C6:G6"/>
    <mergeCell ref="C31:F31"/>
    <mergeCell ref="B54:I55"/>
    <mergeCell ref="B45:I46"/>
  </mergeCells>
  <phoneticPr fontId="55" type="noConversion"/>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534BF-9D89-3041-8829-BBC8AC351BC6}">
  <sheetPr codeName="Sheet8"/>
  <dimension ref="A1:BM151"/>
  <sheetViews>
    <sheetView showGridLines="0" zoomScale="120" zoomScaleNormal="120" workbookViewId="0"/>
  </sheetViews>
  <sheetFormatPr baseColWidth="10" defaultColWidth="10.83203125" defaultRowHeight="16" x14ac:dyDescent="0.2"/>
  <cols>
    <col min="1" max="1" width="10.83203125" style="1"/>
    <col min="2" max="3" width="10.83203125" style="1" customWidth="1"/>
    <col min="4" max="5" width="10.83203125" style="1"/>
    <col min="6" max="6" width="10.83203125" style="1" customWidth="1"/>
    <col min="7" max="7" width="11.1640625" style="1" customWidth="1"/>
    <col min="8" max="9" width="10.83203125" style="1"/>
    <col min="10" max="10" width="10.83203125" style="1" customWidth="1"/>
    <col min="11" max="16384" width="10.83203125" style="1"/>
  </cols>
  <sheetData>
    <row r="1" spans="1:49" ht="19" x14ac:dyDescent="0.25">
      <c r="A1" s="29" t="s">
        <v>524</v>
      </c>
      <c r="B1" s="98"/>
      <c r="C1" s="98"/>
      <c r="D1" s="98"/>
      <c r="E1" s="98"/>
      <c r="F1" s="98"/>
      <c r="G1" s="98"/>
      <c r="H1" s="98"/>
      <c r="I1" s="98"/>
      <c r="J1" s="99"/>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49" x14ac:dyDescent="0.2">
      <c r="A2" s="101"/>
      <c r="B2" s="98"/>
      <c r="C2" s="98"/>
      <c r="D2" s="98"/>
      <c r="E2" s="98"/>
      <c r="F2" s="98"/>
      <c r="G2" s="98"/>
      <c r="H2" s="98"/>
      <c r="I2" s="98"/>
      <c r="J2" s="99"/>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x14ac:dyDescent="0.2">
      <c r="A3" s="102"/>
      <c r="B3" s="28" t="s">
        <v>11</v>
      </c>
      <c r="C3" s="98"/>
      <c r="D3" s="98"/>
      <c r="E3" s="98"/>
      <c r="F3" s="98"/>
      <c r="G3" s="98"/>
      <c r="H3" s="98"/>
      <c r="I3" s="98"/>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row>
    <row r="4" spans="1:49" ht="16" customHeight="1" x14ac:dyDescent="0.2">
      <c r="A4" s="102"/>
      <c r="B4" s="675" t="s">
        <v>462</v>
      </c>
      <c r="C4" s="676"/>
      <c r="D4" s="676"/>
      <c r="E4" s="676"/>
      <c r="F4" s="676"/>
      <c r="G4" s="676"/>
      <c r="H4" s="676"/>
      <c r="I4" s="676"/>
      <c r="J4" s="99"/>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1:49" ht="16" customHeight="1" x14ac:dyDescent="0.2">
      <c r="A5" s="102"/>
      <c r="B5" s="676"/>
      <c r="C5" s="676"/>
      <c r="D5" s="676"/>
      <c r="E5" s="676"/>
      <c r="F5" s="676"/>
      <c r="G5" s="676"/>
      <c r="H5" s="676"/>
      <c r="I5" s="676"/>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ht="16" customHeight="1" x14ac:dyDescent="0.2">
      <c r="A6" s="102"/>
      <c r="B6" s="245"/>
      <c r="C6" s="103"/>
      <c r="D6" s="103"/>
      <c r="E6" s="103"/>
      <c r="F6" s="103"/>
      <c r="G6" s="103"/>
      <c r="H6" s="103"/>
      <c r="I6" s="103"/>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102"/>
      <c r="B7" s="98"/>
      <c r="C7" s="528"/>
      <c r="D7" s="682" t="s">
        <v>38</v>
      </c>
      <c r="E7" s="320"/>
      <c r="F7" s="98"/>
      <c r="G7" s="528"/>
      <c r="H7" s="685" t="s">
        <v>315</v>
      </c>
      <c r="I7" s="98"/>
      <c r="J7" s="99"/>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x14ac:dyDescent="0.2">
      <c r="A8" s="102"/>
      <c r="B8" s="98"/>
      <c r="C8" s="529" t="s">
        <v>300</v>
      </c>
      <c r="D8" s="683"/>
      <c r="E8" s="247" t="s">
        <v>204</v>
      </c>
      <c r="F8" s="98"/>
      <c r="G8" s="536" t="s">
        <v>164</v>
      </c>
      <c r="H8" s="686"/>
      <c r="I8" s="98"/>
      <c r="J8" s="99"/>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49" ht="16" customHeight="1" x14ac:dyDescent="0.2">
      <c r="A9" s="102"/>
      <c r="B9" s="98"/>
      <c r="C9" s="530" t="s">
        <v>301</v>
      </c>
      <c r="D9" s="684"/>
      <c r="E9" s="246" t="s">
        <v>255</v>
      </c>
      <c r="F9" s="98"/>
      <c r="G9" s="530" t="s">
        <v>10</v>
      </c>
      <c r="H9" s="687"/>
      <c r="I9" s="98"/>
      <c r="J9" s="99"/>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x14ac:dyDescent="0.2">
      <c r="A10" s="102"/>
      <c r="B10" s="98"/>
      <c r="C10" s="531" t="s">
        <v>302</v>
      </c>
      <c r="D10" s="532">
        <v>134300</v>
      </c>
      <c r="E10" s="533">
        <v>128</v>
      </c>
      <c r="F10" s="98"/>
      <c r="G10" s="531">
        <v>2019</v>
      </c>
      <c r="H10" s="533">
        <v>139994</v>
      </c>
      <c r="I10" s="98"/>
      <c r="J10" s="99"/>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x14ac:dyDescent="0.2">
      <c r="A11" s="102"/>
      <c r="B11" s="98"/>
      <c r="C11" s="509" t="s">
        <v>303</v>
      </c>
      <c r="D11" s="532">
        <v>137511</v>
      </c>
      <c r="E11" s="533">
        <v>129</v>
      </c>
      <c r="F11" s="98"/>
      <c r="G11" s="509">
        <v>2020</v>
      </c>
      <c r="H11" s="533">
        <v>151434</v>
      </c>
      <c r="I11" s="98"/>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x14ac:dyDescent="0.2">
      <c r="A12" s="102"/>
      <c r="B12" s="98"/>
      <c r="C12" s="509" t="s">
        <v>313</v>
      </c>
      <c r="D12" s="532">
        <v>139447</v>
      </c>
      <c r="E12" s="533">
        <v>130</v>
      </c>
      <c r="F12" s="98"/>
      <c r="G12" s="510">
        <v>2021</v>
      </c>
      <c r="H12" s="535">
        <v>163104</v>
      </c>
      <c r="I12" s="98"/>
      <c r="J12" s="99"/>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x14ac:dyDescent="0.2">
      <c r="A13" s="102"/>
      <c r="B13" s="98"/>
      <c r="C13" s="509" t="s">
        <v>314</v>
      </c>
      <c r="D13" s="532">
        <v>141394</v>
      </c>
      <c r="E13" s="533">
        <v>132</v>
      </c>
      <c r="F13" s="98"/>
      <c r="G13" s="98"/>
      <c r="H13" s="98"/>
      <c r="I13" s="98"/>
      <c r="J13" s="99"/>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x14ac:dyDescent="0.2">
      <c r="A14" s="102"/>
      <c r="B14" s="98"/>
      <c r="C14" s="509" t="s">
        <v>304</v>
      </c>
      <c r="D14" s="532">
        <v>144364</v>
      </c>
      <c r="E14" s="533">
        <v>133</v>
      </c>
      <c r="F14" s="98"/>
      <c r="G14" s="98"/>
      <c r="H14" s="98"/>
      <c r="I14" s="98"/>
      <c r="J14" s="9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x14ac:dyDescent="0.2">
      <c r="A15" s="102"/>
      <c r="B15" s="98"/>
      <c r="C15" s="509" t="s">
        <v>305</v>
      </c>
      <c r="D15" s="532">
        <v>147201</v>
      </c>
      <c r="E15" s="533">
        <v>135</v>
      </c>
      <c r="F15" s="98"/>
      <c r="G15" s="98"/>
      <c r="H15" s="98"/>
      <c r="I15" s="98"/>
      <c r="J15" s="99"/>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x14ac:dyDescent="0.2">
      <c r="A16" s="102"/>
      <c r="B16" s="98"/>
      <c r="C16" s="509" t="s">
        <v>306</v>
      </c>
      <c r="D16" s="532">
        <v>150063</v>
      </c>
      <c r="E16" s="533">
        <v>136</v>
      </c>
      <c r="F16" s="98"/>
      <c r="G16" s="98"/>
      <c r="H16" s="98"/>
      <c r="I16" s="98"/>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x14ac:dyDescent="0.2">
      <c r="A17" s="102"/>
      <c r="B17" s="98"/>
      <c r="C17" s="509" t="s">
        <v>307</v>
      </c>
      <c r="D17" s="532">
        <v>152949</v>
      </c>
      <c r="E17" s="533">
        <v>138</v>
      </c>
      <c r="F17" s="98"/>
      <c r="G17" s="98"/>
      <c r="H17" s="98"/>
      <c r="I17" s="98"/>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x14ac:dyDescent="0.2">
      <c r="A18" s="102"/>
      <c r="B18" s="98"/>
      <c r="C18" s="509" t="s">
        <v>310</v>
      </c>
      <c r="D18" s="532">
        <v>155859</v>
      </c>
      <c r="E18" s="533">
        <v>139</v>
      </c>
      <c r="F18" s="98"/>
      <c r="G18" s="98"/>
      <c r="H18" s="98"/>
      <c r="I18" s="98"/>
      <c r="J18" s="99"/>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x14ac:dyDescent="0.2">
      <c r="A19" s="102"/>
      <c r="B19" s="98"/>
      <c r="C19" s="509" t="s">
        <v>311</v>
      </c>
      <c r="D19" s="532">
        <v>158794</v>
      </c>
      <c r="E19" s="533">
        <v>141</v>
      </c>
      <c r="F19" s="98"/>
      <c r="G19" s="98"/>
      <c r="H19" s="98"/>
      <c r="I19" s="98"/>
      <c r="J19" s="99"/>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x14ac:dyDescent="0.2">
      <c r="A20" s="102"/>
      <c r="B20" s="98"/>
      <c r="C20" s="509" t="s">
        <v>308</v>
      </c>
      <c r="D20" s="532">
        <v>161753</v>
      </c>
      <c r="E20" s="533">
        <v>142</v>
      </c>
      <c r="F20" s="98"/>
      <c r="G20" s="98"/>
      <c r="H20" s="98"/>
      <c r="I20" s="98"/>
      <c r="J20" s="99"/>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x14ac:dyDescent="0.2">
      <c r="A21" s="102"/>
      <c r="B21" s="98"/>
      <c r="C21" s="510" t="s">
        <v>309</v>
      </c>
      <c r="D21" s="534">
        <v>164736</v>
      </c>
      <c r="E21" s="535">
        <v>144</v>
      </c>
      <c r="F21" s="98"/>
      <c r="G21" s="98"/>
      <c r="H21" s="98"/>
      <c r="I21" s="98"/>
      <c r="J21" s="99"/>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x14ac:dyDescent="0.2">
      <c r="A22" s="102"/>
      <c r="B22" s="98"/>
      <c r="C22" s="248"/>
      <c r="D22" s="104"/>
      <c r="E22" s="104"/>
      <c r="F22" s="98"/>
      <c r="G22" s="98"/>
      <c r="H22" s="98"/>
      <c r="I22" s="98"/>
      <c r="J22" s="99"/>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x14ac:dyDescent="0.2">
      <c r="A23" s="102"/>
      <c r="B23" s="245" t="s">
        <v>257</v>
      </c>
      <c r="C23" s="104"/>
      <c r="D23" s="106"/>
      <c r="E23" s="104"/>
      <c r="F23" s="104"/>
      <c r="G23" s="98"/>
      <c r="H23" s="98"/>
      <c r="I23" s="98"/>
      <c r="J23" s="99"/>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x14ac:dyDescent="0.2">
      <c r="A24" s="102"/>
      <c r="B24" s="268" t="s">
        <v>332</v>
      </c>
      <c r="C24" s="104"/>
      <c r="D24" s="106"/>
      <c r="E24" s="104"/>
      <c r="F24" s="269">
        <v>44927</v>
      </c>
      <c r="G24" s="98"/>
      <c r="H24" s="98"/>
      <c r="I24" s="98"/>
      <c r="J24" s="99"/>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x14ac:dyDescent="0.2">
      <c r="A25" s="102"/>
      <c r="B25" s="245" t="s">
        <v>312</v>
      </c>
      <c r="C25" s="104"/>
      <c r="D25" s="106"/>
      <c r="E25" s="104"/>
      <c r="F25" s="98"/>
      <c r="G25" s="98"/>
      <c r="H25" s="98"/>
      <c r="I25" s="98"/>
      <c r="J25" s="99"/>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x14ac:dyDescent="0.2">
      <c r="A26" s="102"/>
      <c r="B26" s="98"/>
      <c r="C26" s="104"/>
      <c r="D26" s="104"/>
      <c r="E26" s="104"/>
      <c r="F26" s="98"/>
      <c r="G26" s="98"/>
      <c r="H26" s="98"/>
      <c r="I26" s="98"/>
      <c r="J26" s="99"/>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ht="16" customHeight="1" x14ac:dyDescent="0.2">
      <c r="A27" s="102"/>
      <c r="B27" s="688" t="s">
        <v>335</v>
      </c>
      <c r="C27" s="688"/>
      <c r="D27" s="688"/>
      <c r="E27" s="688"/>
      <c r="F27" s="688"/>
      <c r="G27" s="688"/>
      <c r="H27" s="688"/>
      <c r="I27" s="688"/>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ht="16" customHeight="1" x14ac:dyDescent="0.2">
      <c r="A28" s="102"/>
      <c r="B28" s="688"/>
      <c r="C28" s="688"/>
      <c r="D28" s="688"/>
      <c r="E28" s="688"/>
      <c r="F28" s="688"/>
      <c r="G28" s="688"/>
      <c r="H28" s="688"/>
      <c r="I28" s="688"/>
      <c r="J28" s="99"/>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ht="17" thickBot="1" x14ac:dyDescent="0.25">
      <c r="A29" s="108"/>
      <c r="B29" s="109"/>
      <c r="C29" s="110"/>
      <c r="D29" s="110"/>
      <c r="E29" s="110"/>
      <c r="F29" s="109"/>
      <c r="G29" s="109"/>
      <c r="H29" s="109"/>
      <c r="I29" s="109"/>
      <c r="J29" s="111"/>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x14ac:dyDescent="0.2">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ht="19" x14ac:dyDescent="0.25">
      <c r="A31" s="4" t="s">
        <v>9</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ht="16" customHeight="1" x14ac:dyDescent="0.2">
      <c r="A32" s="6" t="s">
        <v>8</v>
      </c>
      <c r="B32" s="7" t="s">
        <v>326</v>
      </c>
      <c r="C32" s="7"/>
      <c r="D32" s="7"/>
      <c r="E32" s="7"/>
      <c r="F32" s="7"/>
      <c r="G32" s="7"/>
      <c r="H32" s="7"/>
      <c r="I32" s="7"/>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ht="16" customHeight="1" x14ac:dyDescent="0.2">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ht="16" customHeight="1" x14ac:dyDescent="0.2">
      <c r="B34"/>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ht="16" customHeight="1" x14ac:dyDescent="0.2">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ht="16" customHeight="1" x14ac:dyDescent="0.2">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ht="16" customHeight="1" x14ac:dyDescent="0.2">
      <c r="A37" s="6" t="s">
        <v>7</v>
      </c>
      <c r="B37" s="632" t="s">
        <v>316</v>
      </c>
      <c r="C37" s="632"/>
      <c r="D37" s="632"/>
      <c r="E37" s="632"/>
      <c r="F37" s="632"/>
      <c r="G37" s="632"/>
      <c r="H37" s="632"/>
      <c r="I37" s="632"/>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ht="16" customHeight="1" x14ac:dyDescent="0.2">
      <c r="A38" s="6"/>
      <c r="B38" s="632"/>
      <c r="C38" s="632"/>
      <c r="D38" s="632"/>
      <c r="E38" s="632"/>
      <c r="F38" s="632"/>
      <c r="G38" s="632"/>
      <c r="H38" s="632"/>
      <c r="I38" s="632"/>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ht="16" customHeight="1" x14ac:dyDescent="0.2">
      <c r="A39" s="6"/>
      <c r="B39" s="632"/>
      <c r="C39" s="632"/>
      <c r="D39" s="632"/>
      <c r="E39" s="632"/>
      <c r="F39" s="632"/>
      <c r="G39" s="632"/>
      <c r="H39" s="632"/>
      <c r="I39" s="632"/>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ht="16" customHeight="1" x14ac:dyDescent="0.2">
      <c r="A40" s="6"/>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ht="16" customHeight="1" x14ac:dyDescent="0.2">
      <c r="A41" s="6"/>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ht="16" customHeight="1" x14ac:dyDescent="0.2">
      <c r="A42" s="6"/>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3" spans="1:49" ht="16" customHeight="1" x14ac:dyDescent="0.2">
      <c r="A43" s="6"/>
      <c r="B43" s="100"/>
      <c r="C43" s="249"/>
      <c r="D43" s="677" t="s">
        <v>38</v>
      </c>
      <c r="E43" s="251"/>
      <c r="F43" s="252" t="s">
        <v>167</v>
      </c>
      <c r="G43" s="252"/>
      <c r="H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row>
    <row r="44" spans="1:49" ht="16" customHeight="1" x14ac:dyDescent="0.2">
      <c r="A44" s="6"/>
      <c r="B44" s="100"/>
      <c r="C44" s="253" t="s">
        <v>300</v>
      </c>
      <c r="D44" s="677"/>
      <c r="E44" s="252" t="s">
        <v>204</v>
      </c>
      <c r="F44" s="252" t="s">
        <v>317</v>
      </c>
      <c r="G44" s="252" t="s">
        <v>319</v>
      </c>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49" ht="16" customHeight="1" x14ac:dyDescent="0.2">
      <c r="A45" s="6"/>
      <c r="B45" s="100"/>
      <c r="C45" s="254" t="s">
        <v>301</v>
      </c>
      <c r="D45" s="678"/>
      <c r="E45" s="255" t="s">
        <v>255</v>
      </c>
      <c r="F45" s="255" t="s">
        <v>318</v>
      </c>
      <c r="G45" s="255" t="s">
        <v>320</v>
      </c>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ht="16" customHeight="1" x14ac:dyDescent="0.2">
      <c r="A46" s="6"/>
      <c r="B46" s="100"/>
      <c r="C46" s="256" t="str">
        <f>C10</f>
        <v>2019 - 1Q</v>
      </c>
      <c r="D46" s="257">
        <f t="shared" ref="D46:E46" si="0">D10</f>
        <v>134300</v>
      </c>
      <c r="E46" s="257">
        <f t="shared" si="0"/>
        <v>128</v>
      </c>
      <c r="F46" s="257">
        <f>D46/E46</f>
        <v>1049.21875</v>
      </c>
      <c r="G46" s="266" t="s">
        <v>321</v>
      </c>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ht="16" customHeight="1" x14ac:dyDescent="0.2">
      <c r="A47" s="6"/>
      <c r="B47" s="100"/>
      <c r="C47" s="258" t="str">
        <f t="shared" ref="C47:E47" si="1">C11</f>
        <v>2019 - 2Q</v>
      </c>
      <c r="D47" s="257">
        <f t="shared" si="1"/>
        <v>137511</v>
      </c>
      <c r="E47" s="257">
        <f t="shared" si="1"/>
        <v>129</v>
      </c>
      <c r="F47" s="257">
        <f t="shared" ref="F47:F57" si="2">D47/E47</f>
        <v>1065.9767441860465</v>
      </c>
      <c r="G47" s="266" t="s">
        <v>321</v>
      </c>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ht="16" customHeight="1" x14ac:dyDescent="0.2">
      <c r="A48" s="6"/>
      <c r="B48" s="100"/>
      <c r="C48" s="258" t="str">
        <f t="shared" ref="C48:E48" si="3">C12</f>
        <v>2019 - 3Q</v>
      </c>
      <c r="D48" s="257">
        <f t="shared" si="3"/>
        <v>139447</v>
      </c>
      <c r="E48" s="257">
        <f t="shared" si="3"/>
        <v>130</v>
      </c>
      <c r="F48" s="257">
        <f t="shared" si="2"/>
        <v>1072.6692307692308</v>
      </c>
      <c r="G48" s="266" t="s">
        <v>321</v>
      </c>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ht="16" customHeight="1" x14ac:dyDescent="0.2">
      <c r="A49" s="6"/>
      <c r="B49" s="100"/>
      <c r="C49" s="258" t="str">
        <f t="shared" ref="C49:E49" si="4">C13</f>
        <v>2019 - 4Q</v>
      </c>
      <c r="D49" s="257">
        <f t="shared" si="4"/>
        <v>141394</v>
      </c>
      <c r="E49" s="257">
        <f t="shared" si="4"/>
        <v>132</v>
      </c>
      <c r="F49" s="257">
        <f t="shared" si="2"/>
        <v>1071.1666666666667</v>
      </c>
      <c r="G49" s="266" t="s">
        <v>321</v>
      </c>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ht="16" customHeight="1" x14ac:dyDescent="0.2">
      <c r="A50" s="6"/>
      <c r="B50" s="100"/>
      <c r="C50" s="258" t="str">
        <f t="shared" ref="C50:E50" si="5">C14</f>
        <v>2020 - 1Q</v>
      </c>
      <c r="D50" s="257">
        <f t="shared" si="5"/>
        <v>144364</v>
      </c>
      <c r="E50" s="257">
        <f t="shared" si="5"/>
        <v>133</v>
      </c>
      <c r="F50" s="257">
        <f t="shared" si="2"/>
        <v>1085.4436090225563</v>
      </c>
      <c r="G50" s="259">
        <f>F50/F46-1</f>
        <v>3.4525554392309754E-2</v>
      </c>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ht="16" customHeight="1" x14ac:dyDescent="0.2">
      <c r="A51" s="6"/>
      <c r="B51" s="100"/>
      <c r="C51" s="258" t="str">
        <f t="shared" ref="C51:E51" si="6">C15</f>
        <v>2020 - 2Q</v>
      </c>
      <c r="D51" s="257">
        <f t="shared" si="6"/>
        <v>147201</v>
      </c>
      <c r="E51" s="257">
        <f t="shared" si="6"/>
        <v>135</v>
      </c>
      <c r="F51" s="257">
        <f t="shared" si="2"/>
        <v>1090.3777777777777</v>
      </c>
      <c r="G51" s="259">
        <f>F51/F47-1</f>
        <v>2.2890774798622227E-2</v>
      </c>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ht="16" customHeight="1" x14ac:dyDescent="0.2">
      <c r="A52" s="6"/>
      <c r="B52" s="100"/>
      <c r="C52" s="258" t="str">
        <f t="shared" ref="C52:E52" si="7">C16</f>
        <v>2020 - 3Q</v>
      </c>
      <c r="D52" s="257">
        <f t="shared" si="7"/>
        <v>150063</v>
      </c>
      <c r="E52" s="257">
        <f t="shared" si="7"/>
        <v>136</v>
      </c>
      <c r="F52" s="257">
        <f t="shared" si="2"/>
        <v>1103.4044117647059</v>
      </c>
      <c r="G52" s="259">
        <f t="shared" ref="G52:G57" si="8">F52/F48-1</f>
        <v>2.8652990235801035E-2</v>
      </c>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ht="16" customHeight="1" x14ac:dyDescent="0.2">
      <c r="A53" s="6"/>
      <c r="B53" s="100"/>
      <c r="C53" s="258" t="str">
        <f t="shared" ref="C53:E53" si="9">C17</f>
        <v>2020 - 4Q</v>
      </c>
      <c r="D53" s="257">
        <f t="shared" si="9"/>
        <v>152949</v>
      </c>
      <c r="E53" s="257">
        <f t="shared" si="9"/>
        <v>138</v>
      </c>
      <c r="F53" s="257">
        <f t="shared" si="2"/>
        <v>1108.3260869565217</v>
      </c>
      <c r="G53" s="259">
        <f t="shared" si="8"/>
        <v>3.4690605529660745E-2</v>
      </c>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ht="16" customHeight="1" x14ac:dyDescent="0.2">
      <c r="A54" s="6"/>
      <c r="B54" s="100"/>
      <c r="C54" s="258" t="str">
        <f t="shared" ref="C54:E54" si="10">C18</f>
        <v>2021 - 1Q</v>
      </c>
      <c r="D54" s="257">
        <f t="shared" si="10"/>
        <v>155859</v>
      </c>
      <c r="E54" s="257">
        <f t="shared" si="10"/>
        <v>139</v>
      </c>
      <c r="F54" s="257">
        <f t="shared" si="2"/>
        <v>1121.2877697841727</v>
      </c>
      <c r="G54" s="259">
        <f t="shared" si="8"/>
        <v>3.3022591375238886E-2</v>
      </c>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ht="16" customHeight="1" x14ac:dyDescent="0.2">
      <c r="A55" s="6"/>
      <c r="B55" s="100"/>
      <c r="C55" s="258" t="str">
        <f t="shared" ref="C55:E55" si="11">C19</f>
        <v>2021 - 2Q</v>
      </c>
      <c r="D55" s="257">
        <f t="shared" si="11"/>
        <v>158794</v>
      </c>
      <c r="E55" s="257">
        <f t="shared" si="11"/>
        <v>141</v>
      </c>
      <c r="F55" s="257">
        <f t="shared" si="2"/>
        <v>1126.1985815602836</v>
      </c>
      <c r="G55" s="259">
        <f t="shared" si="8"/>
        <v>3.2851736813189314E-2</v>
      </c>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ht="16" customHeight="1" x14ac:dyDescent="0.2">
      <c r="A56" s="6"/>
      <c r="B56" s="100"/>
      <c r="C56" s="258" t="str">
        <f t="shared" ref="C56:E56" si="12">C20</f>
        <v>2021 - 3Q</v>
      </c>
      <c r="D56" s="257">
        <f t="shared" si="12"/>
        <v>161753</v>
      </c>
      <c r="E56" s="257">
        <f t="shared" si="12"/>
        <v>142</v>
      </c>
      <c r="F56" s="257">
        <f t="shared" si="2"/>
        <v>1139.105633802817</v>
      </c>
      <c r="G56" s="259">
        <f>F56/F52-1</f>
        <v>3.2355518663382155E-2</v>
      </c>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ht="16" customHeight="1" x14ac:dyDescent="0.2">
      <c r="A57" s="6"/>
      <c r="B57" s="100"/>
      <c r="C57" s="258" t="str">
        <f t="shared" ref="C57:E57" si="13">C21</f>
        <v>2021 - 4Q</v>
      </c>
      <c r="D57" s="257">
        <f t="shared" si="13"/>
        <v>164736</v>
      </c>
      <c r="E57" s="257">
        <f t="shared" si="13"/>
        <v>144</v>
      </c>
      <c r="F57" s="257">
        <f t="shared" si="2"/>
        <v>1144</v>
      </c>
      <c r="G57" s="259">
        <f t="shared" si="8"/>
        <v>3.2187199654786891E-2</v>
      </c>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ht="16" customHeight="1" x14ac:dyDescent="0.2">
      <c r="A58" s="6"/>
      <c r="B58" s="100"/>
      <c r="C58" s="100"/>
      <c r="D58" s="100"/>
      <c r="E58" s="100"/>
      <c r="F58" s="100"/>
      <c r="G58" s="267"/>
      <c r="H58" s="100"/>
      <c r="I58" s="100"/>
      <c r="J58" s="100"/>
      <c r="K58" s="100"/>
      <c r="L58" s="2"/>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ht="17" thickBot="1" x14ac:dyDescent="0.25">
      <c r="F59" s="251" t="s">
        <v>167</v>
      </c>
      <c r="G59" s="261">
        <f>AVERAGE(G50:G57)</f>
        <v>3.1397121432873876E-2</v>
      </c>
    </row>
    <row r="60" spans="1:49" ht="17" thickBot="1" x14ac:dyDescent="0.25">
      <c r="F60" s="260" t="s">
        <v>282</v>
      </c>
      <c r="G60" s="265">
        <v>3.1E-2</v>
      </c>
    </row>
    <row r="62" spans="1:49" ht="16" customHeight="1" x14ac:dyDescent="0.2">
      <c r="A62" s="6" t="s">
        <v>6</v>
      </c>
      <c r="B62" s="632" t="s">
        <v>338</v>
      </c>
      <c r="C62" s="632"/>
      <c r="D62" s="632"/>
      <c r="E62" s="632"/>
      <c r="F62" s="632"/>
      <c r="G62" s="632"/>
      <c r="H62" s="632"/>
      <c r="I62" s="632"/>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ht="16" customHeight="1" x14ac:dyDescent="0.2">
      <c r="A63" s="6"/>
      <c r="B63" s="632"/>
      <c r="C63" s="632"/>
      <c r="D63" s="632"/>
      <c r="E63" s="632"/>
      <c r="F63" s="632"/>
      <c r="G63" s="632"/>
      <c r="H63" s="632"/>
      <c r="I63" s="632"/>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ht="16" customHeight="1" x14ac:dyDescent="0.2">
      <c r="A64" s="6"/>
      <c r="B64" s="632"/>
      <c r="C64" s="632"/>
      <c r="D64" s="632"/>
      <c r="E64" s="632"/>
      <c r="F64" s="632"/>
      <c r="G64" s="632"/>
      <c r="H64" s="632"/>
      <c r="I64" s="632"/>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ht="16" customHeight="1" x14ac:dyDescent="0.2">
      <c r="A65" s="6"/>
      <c r="B65" s="100"/>
      <c r="C65" s="100"/>
      <c r="D65" s="100"/>
      <c r="E65" s="100"/>
      <c r="F65" s="100"/>
      <c r="G65" s="100"/>
      <c r="H65" s="100"/>
      <c r="I65" s="7"/>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ht="16" customHeight="1" x14ac:dyDescent="0.2">
      <c r="A66" s="6"/>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ht="16" customHeight="1" x14ac:dyDescent="0.2">
      <c r="A67" s="6"/>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ht="16" customHeight="1" x14ac:dyDescent="0.2">
      <c r="A68" s="6"/>
      <c r="B68" s="7"/>
      <c r="C68" s="7"/>
      <c r="D68" s="7"/>
      <c r="E68" s="7"/>
      <c r="F68" s="7"/>
      <c r="G68" s="7"/>
      <c r="H68" s="7"/>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ht="16" customHeight="1" x14ac:dyDescent="0.2">
      <c r="A69" s="6"/>
      <c r="B69" s="7"/>
      <c r="C69" s="7"/>
      <c r="D69" s="7"/>
      <c r="E69" s="7"/>
      <c r="F69" s="7"/>
      <c r="G69" s="7"/>
      <c r="H69" s="7"/>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ht="16" customHeight="1" x14ac:dyDescent="0.2">
      <c r="A70" s="6"/>
      <c r="B70" s="7"/>
      <c r="C70" s="7"/>
      <c r="D70" s="7"/>
      <c r="E70" s="7"/>
      <c r="F70" s="7"/>
      <c r="G70" s="7"/>
      <c r="H70" s="7"/>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ht="16" customHeight="1" x14ac:dyDescent="0.2">
      <c r="A71" s="6"/>
      <c r="B71" s="7"/>
      <c r="C71" s="7"/>
      <c r="D71" s="7"/>
      <c r="E71" s="7"/>
      <c r="F71" s="7"/>
      <c r="G71" s="7"/>
      <c r="H71" s="7"/>
      <c r="I71" s="100"/>
      <c r="J71" s="100"/>
      <c r="K71" s="100"/>
      <c r="L71" s="2"/>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ht="16" customHeight="1" x14ac:dyDescent="0.2">
      <c r="A72" s="6"/>
      <c r="B72" s="7"/>
      <c r="C72" s="7"/>
      <c r="D72" s="7"/>
      <c r="E72" s="7"/>
      <c r="F72" s="7"/>
      <c r="G72" s="7"/>
      <c r="H72" s="7"/>
      <c r="I72" s="100"/>
      <c r="J72" s="100"/>
      <c r="K72" s="100"/>
      <c r="L72" s="2"/>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ht="16" customHeight="1" x14ac:dyDescent="0.2">
      <c r="A73" s="6"/>
      <c r="B73" s="7"/>
      <c r="C73" s="7"/>
      <c r="D73" s="7"/>
      <c r="E73" s="7"/>
      <c r="F73" s="7"/>
      <c r="G73" s="7"/>
      <c r="H73" s="7"/>
      <c r="I73" s="100"/>
      <c r="J73" s="100"/>
      <c r="K73" s="100"/>
      <c r="L73" s="2"/>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ht="16" customHeight="1" x14ac:dyDescent="0.2">
      <c r="A74" s="6"/>
      <c r="B74" s="7"/>
      <c r="C74" s="7"/>
      <c r="D74" s="7"/>
      <c r="E74" s="7"/>
      <c r="F74" s="7"/>
      <c r="G74" s="7"/>
      <c r="H74" s="7"/>
      <c r="I74" s="100"/>
      <c r="J74" s="100"/>
      <c r="K74" s="100"/>
      <c r="L74" s="2"/>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ht="16" customHeight="1" x14ac:dyDescent="0.2">
      <c r="A75" s="6"/>
      <c r="B75" s="7"/>
      <c r="C75" s="7"/>
      <c r="D75" s="7"/>
      <c r="E75" s="7"/>
      <c r="F75" s="7"/>
      <c r="G75" s="7"/>
      <c r="H75" s="7"/>
      <c r="I75" s="100"/>
      <c r="J75" s="100"/>
      <c r="K75" s="100"/>
      <c r="L75" s="2"/>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ht="16" customHeight="1" x14ac:dyDescent="0.2">
      <c r="A76" s="6"/>
      <c r="B76" s="7"/>
      <c r="C76" s="7"/>
      <c r="D76" s="7"/>
      <c r="E76" s="7"/>
      <c r="F76" s="7"/>
      <c r="G76" s="7"/>
      <c r="H76" s="7"/>
      <c r="I76" s="100"/>
      <c r="J76" s="100"/>
      <c r="K76" s="100"/>
      <c r="L76" s="2"/>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ht="16" customHeight="1" x14ac:dyDescent="0.2">
      <c r="A77" s="6"/>
      <c r="B77" s="7"/>
      <c r="C77" s="7"/>
      <c r="D77" s="7"/>
      <c r="E77" s="7"/>
      <c r="F77" s="7"/>
      <c r="G77" s="7"/>
      <c r="H77" s="7"/>
      <c r="I77" s="100"/>
      <c r="J77" s="100"/>
      <c r="K77" s="100"/>
      <c r="L77" s="2"/>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ht="16" customHeight="1" x14ac:dyDescent="0.2">
      <c r="A78" s="6"/>
      <c r="B78" s="7"/>
      <c r="C78" s="7"/>
      <c r="D78" s="7"/>
      <c r="E78" s="7"/>
      <c r="F78" s="7"/>
      <c r="G78" s="7"/>
      <c r="H78" s="7"/>
      <c r="I78" s="100"/>
      <c r="J78" s="100"/>
      <c r="K78" s="100"/>
      <c r="L78" s="2"/>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ht="16" customHeight="1" x14ac:dyDescent="0.2">
      <c r="A79" s="6"/>
      <c r="B79" s="7"/>
      <c r="C79" s="7"/>
      <c r="D79" s="7"/>
      <c r="E79" s="7"/>
      <c r="F79" s="7"/>
      <c r="G79" s="7"/>
      <c r="H79" s="7"/>
      <c r="I79" s="100"/>
      <c r="J79" s="100"/>
      <c r="K79" s="100"/>
      <c r="L79" s="2"/>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ht="16" customHeight="1" x14ac:dyDescent="0.2">
      <c r="A80" s="6"/>
      <c r="B80" s="7"/>
      <c r="C80" s="7"/>
      <c r="D80" s="7"/>
      <c r="E80" s="7"/>
      <c r="F80" s="7"/>
      <c r="G80" s="7"/>
      <c r="H80" s="7"/>
      <c r="I80" s="100"/>
      <c r="J80" s="100"/>
      <c r="K80" s="100"/>
      <c r="L80" s="2"/>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65" ht="16" customHeight="1" x14ac:dyDescent="0.2">
      <c r="A81" s="6"/>
      <c r="B81" s="7"/>
      <c r="C81" s="7"/>
      <c r="D81" s="7"/>
      <c r="E81" s="7"/>
      <c r="F81" s="7"/>
      <c r="G81" s="7"/>
      <c r="H81" s="7"/>
      <c r="I81" s="100"/>
      <c r="J81" s="100"/>
      <c r="K81" s="100"/>
      <c r="L81" s="2"/>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65" ht="16" customHeight="1" x14ac:dyDescent="0.2">
      <c r="A82" s="6"/>
      <c r="C82" s="100"/>
      <c r="D82" s="100"/>
      <c r="E82"/>
      <c r="F82" s="100"/>
      <c r="G82" s="100"/>
      <c r="H82" s="100"/>
      <c r="I82" s="100"/>
      <c r="J82" s="100"/>
      <c r="K82" s="100"/>
      <c r="L82" s="2"/>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65" ht="16" customHeight="1" x14ac:dyDescent="0.2">
      <c r="A83" s="6" t="s">
        <v>5</v>
      </c>
      <c r="B83" s="632" t="s">
        <v>563</v>
      </c>
      <c r="C83" s="632"/>
      <c r="D83" s="632"/>
      <c r="E83" s="632"/>
      <c r="F83" s="632"/>
      <c r="G83" s="632"/>
      <c r="H83" s="632"/>
      <c r="I83" s="632"/>
      <c r="J83" s="100"/>
      <c r="K83" s="100"/>
      <c r="L83" s="2"/>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65" ht="16" customHeight="1" x14ac:dyDescent="0.2">
      <c r="A84" s="6"/>
      <c r="B84" s="632"/>
      <c r="C84" s="632"/>
      <c r="D84" s="632"/>
      <c r="E84" s="632"/>
      <c r="F84" s="632"/>
      <c r="G84" s="632"/>
      <c r="H84" s="632"/>
      <c r="I84" s="632"/>
      <c r="J84" s="100"/>
      <c r="K84" s="100"/>
      <c r="L84" s="2"/>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65" ht="16" customHeight="1" x14ac:dyDescent="0.2">
      <c r="A85" s="6"/>
      <c r="B85" s="100"/>
      <c r="C85" s="100"/>
      <c r="D85" s="100"/>
      <c r="E85" s="100"/>
      <c r="F85" s="100"/>
      <c r="G85" s="100"/>
      <c r="H85" s="100"/>
      <c r="I85" s="100"/>
      <c r="J85" s="100"/>
      <c r="K85" s="100"/>
      <c r="L85" s="2"/>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65" ht="16" customHeight="1" x14ac:dyDescent="0.2">
      <c r="A86" s="6"/>
      <c r="B86" s="100"/>
      <c r="C86" s="100"/>
      <c r="D86" s="100"/>
      <c r="E86" s="100"/>
      <c r="F86" s="100"/>
      <c r="G86" s="100"/>
      <c r="H86" s="100"/>
      <c r="I86" s="100"/>
      <c r="J86" s="100"/>
      <c r="K86" s="100"/>
      <c r="L86" s="2"/>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65" ht="16" customHeight="1" thickBot="1" x14ac:dyDescent="0.25">
      <c r="A87" s="6"/>
      <c r="B87" s="100"/>
      <c r="C87" s="100"/>
      <c r="D87" s="100"/>
      <c r="E87" s="100"/>
      <c r="F87" s="100"/>
      <c r="G87" s="100"/>
      <c r="H87" s="100"/>
      <c r="I87" s="100"/>
      <c r="J87" s="100"/>
      <c r="K87" s="100"/>
      <c r="L87" s="2"/>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65" ht="16" customHeight="1" x14ac:dyDescent="0.2">
      <c r="A88" s="6"/>
      <c r="C88" s="249"/>
      <c r="D88" s="677" t="s">
        <v>315</v>
      </c>
      <c r="E88" s="250"/>
      <c r="F88" s="677" t="s">
        <v>322</v>
      </c>
      <c r="G88" s="679" t="s">
        <v>323</v>
      </c>
      <c r="H88" s="100"/>
      <c r="I88" s="100"/>
      <c r="J88" s="100"/>
      <c r="K88" s="100"/>
      <c r="L88" s="100"/>
      <c r="M88" s="2"/>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row>
    <row r="89" spans="1:65" ht="16" customHeight="1" x14ac:dyDescent="0.2">
      <c r="A89" s="6"/>
      <c r="C89" s="253" t="s">
        <v>164</v>
      </c>
      <c r="D89" s="677"/>
      <c r="E89" s="250" t="s">
        <v>324</v>
      </c>
      <c r="F89" s="677"/>
      <c r="G89" s="680"/>
      <c r="H89" s="100"/>
      <c r="I89" s="100"/>
      <c r="J89" s="100"/>
      <c r="K89" s="100"/>
      <c r="L89" s="100"/>
      <c r="M89" s="2"/>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row>
    <row r="90" spans="1:65" ht="16" customHeight="1" x14ac:dyDescent="0.2">
      <c r="A90" s="6"/>
      <c r="C90" s="254" t="s">
        <v>10</v>
      </c>
      <c r="D90" s="678"/>
      <c r="E90" s="255" t="s">
        <v>325</v>
      </c>
      <c r="F90" s="678"/>
      <c r="G90" s="681"/>
      <c r="H90" s="100"/>
      <c r="I90" s="100"/>
      <c r="J90" s="100"/>
      <c r="K90" s="100"/>
      <c r="L90" s="100"/>
      <c r="M90" s="2"/>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row>
    <row r="91" spans="1:65" ht="16" customHeight="1" x14ac:dyDescent="0.2">
      <c r="A91" s="6"/>
      <c r="C91" s="256">
        <v>2019</v>
      </c>
      <c r="D91" s="257">
        <f>H10</f>
        <v>139994</v>
      </c>
      <c r="E91" s="262">
        <f>E92+1</f>
        <v>4.5</v>
      </c>
      <c r="F91" s="263">
        <f>(1+$G$60)^E91</f>
        <v>1.1472656581923346</v>
      </c>
      <c r="G91" s="290">
        <f>D91*F91</f>
        <v>160610.30855297769</v>
      </c>
      <c r="H91" s="100"/>
      <c r="I91" s="100"/>
      <c r="J91" s="100"/>
      <c r="K91" s="100"/>
      <c r="L91" s="100"/>
      <c r="M91" s="2"/>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row>
    <row r="92" spans="1:65" ht="16" customHeight="1" x14ac:dyDescent="0.2">
      <c r="A92" s="6"/>
      <c r="C92" s="258">
        <v>2020</v>
      </c>
      <c r="D92" s="257">
        <f t="shared" ref="D92:D93" si="14">H11</f>
        <v>151434</v>
      </c>
      <c r="E92" s="262">
        <f>E93+1</f>
        <v>3.5</v>
      </c>
      <c r="F92" s="263">
        <f t="shared" ref="F92" si="15">(1+$G$60)^E92</f>
        <v>1.1127697945609454</v>
      </c>
      <c r="G92" s="290">
        <f t="shared" ref="G92" si="16">D92*F92</f>
        <v>168511.18106954219</v>
      </c>
      <c r="H92" s="100"/>
      <c r="I92" s="100"/>
      <c r="J92" s="100"/>
      <c r="K92" s="100"/>
      <c r="L92" s="100"/>
      <c r="M92" s="2"/>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row>
    <row r="93" spans="1:65" ht="16" customHeight="1" thickBot="1" x14ac:dyDescent="0.25">
      <c r="A93" s="6"/>
      <c r="C93" s="258">
        <v>2021</v>
      </c>
      <c r="D93" s="257">
        <f t="shared" si="14"/>
        <v>163104</v>
      </c>
      <c r="E93" s="262">
        <v>2.5</v>
      </c>
      <c r="F93" s="263">
        <f>(1+$G$60)^E93</f>
        <v>1.0793111489436911</v>
      </c>
      <c r="G93" s="291">
        <f>D93*F93</f>
        <v>176039.96563731178</v>
      </c>
      <c r="H93" s="100"/>
      <c r="I93" s="100"/>
      <c r="J93" s="100"/>
      <c r="K93" s="100"/>
      <c r="L93" s="100"/>
      <c r="M93" s="2"/>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row>
    <row r="94" spans="1:65" x14ac:dyDescent="0.2">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row>
    <row r="95" spans="1:65" ht="19" x14ac:dyDescent="0.25">
      <c r="A95" s="4" t="s">
        <v>3</v>
      </c>
      <c r="B95" s="100"/>
      <c r="C95" s="100"/>
      <c r="D95" s="100"/>
      <c r="E95" s="100"/>
      <c r="F95" s="100"/>
      <c r="G95" s="100"/>
      <c r="H95" s="100"/>
      <c r="I95" s="100"/>
      <c r="J95" s="100"/>
      <c r="K95" s="100"/>
      <c r="L95" s="2"/>
      <c r="M95" s="2"/>
      <c r="N95" s="2"/>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row>
    <row r="96" spans="1:65" ht="16" customHeight="1" x14ac:dyDescent="0.2">
      <c r="A96" s="2"/>
      <c r="B96" s="689" t="s">
        <v>329</v>
      </c>
      <c r="C96" s="689"/>
      <c r="D96" s="689"/>
      <c r="E96" s="689"/>
      <c r="F96" s="689"/>
      <c r="G96" s="689"/>
      <c r="H96" s="689"/>
      <c r="I96" s="689"/>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x14ac:dyDescent="0.2">
      <c r="A97" s="2"/>
      <c r="B97" s="689"/>
      <c r="C97" s="689"/>
      <c r="D97" s="689"/>
      <c r="E97" s="689"/>
      <c r="F97" s="689"/>
      <c r="G97" s="689"/>
      <c r="H97" s="689"/>
      <c r="I97" s="689"/>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x14ac:dyDescent="0.2">
      <c r="A98" s="2"/>
      <c r="B98" s="689"/>
      <c r="C98" s="689"/>
      <c r="D98" s="689"/>
      <c r="E98" s="689"/>
      <c r="F98" s="689"/>
      <c r="G98" s="689"/>
      <c r="H98" s="689"/>
      <c r="I98" s="689"/>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x14ac:dyDescent="0.2">
      <c r="A99" s="2"/>
      <c r="B99" s="689"/>
      <c r="C99" s="689"/>
      <c r="D99" s="689"/>
      <c r="E99" s="689"/>
      <c r="F99" s="689"/>
      <c r="G99" s="689"/>
      <c r="H99" s="689"/>
      <c r="I99" s="689"/>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x14ac:dyDescent="0.2">
      <c r="A100" s="2"/>
      <c r="B100" s="689"/>
      <c r="C100" s="689"/>
      <c r="D100" s="689"/>
      <c r="E100" s="689"/>
      <c r="F100" s="689"/>
      <c r="G100" s="689"/>
      <c r="H100" s="689"/>
      <c r="I100" s="689"/>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x14ac:dyDescent="0.2">
      <c r="A101" s="2"/>
      <c r="B101" s="264"/>
      <c r="C101" s="264"/>
      <c r="D101" s="264"/>
      <c r="E101" s="264"/>
      <c r="F101" s="264"/>
      <c r="G101" s="264"/>
      <c r="H101" s="264"/>
      <c r="I101" s="264"/>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9" x14ac:dyDescent="0.25">
      <c r="A102" s="2"/>
      <c r="B102" s="5" t="s">
        <v>330</v>
      </c>
      <c r="C102" s="264"/>
      <c r="D102" s="264"/>
      <c r="E102" s="264"/>
      <c r="F102" s="264"/>
      <c r="G102" s="264"/>
      <c r="H102" s="264"/>
      <c r="I102" s="264"/>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6" customHeight="1" x14ac:dyDescent="0.2">
      <c r="A103" s="2"/>
      <c r="B103" s="690" t="s">
        <v>355</v>
      </c>
      <c r="C103" s="689"/>
      <c r="D103" s="689"/>
      <c r="E103" s="689"/>
      <c r="F103" s="689"/>
      <c r="G103" s="689"/>
      <c r="H103" s="689"/>
      <c r="I103" s="689"/>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x14ac:dyDescent="0.2">
      <c r="A104" s="2"/>
      <c r="B104" s="689"/>
      <c r="C104" s="689"/>
      <c r="D104" s="689"/>
      <c r="E104" s="689"/>
      <c r="F104" s="689"/>
      <c r="G104" s="689"/>
      <c r="H104" s="689"/>
      <c r="I104" s="689"/>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x14ac:dyDescent="0.2">
      <c r="A105" s="2"/>
      <c r="B105" s="689"/>
      <c r="C105" s="689"/>
      <c r="D105" s="689"/>
      <c r="E105" s="689"/>
      <c r="F105" s="689"/>
      <c r="G105" s="689"/>
      <c r="H105" s="689"/>
      <c r="I105" s="689"/>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x14ac:dyDescent="0.2">
      <c r="A106" s="2"/>
      <c r="B106" s="689"/>
      <c r="C106" s="689"/>
      <c r="D106" s="689"/>
      <c r="E106" s="689"/>
      <c r="F106" s="689"/>
      <c r="G106" s="689"/>
      <c r="H106" s="689"/>
      <c r="I106" s="689"/>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1:65" x14ac:dyDescent="0.2">
      <c r="A107" s="2"/>
      <c r="B107" s="689"/>
      <c r="C107" s="689"/>
      <c r="D107" s="689"/>
      <c r="E107" s="689"/>
      <c r="F107" s="689"/>
      <c r="G107" s="689"/>
      <c r="H107" s="689"/>
      <c r="I107" s="689"/>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1:65" x14ac:dyDescent="0.2">
      <c r="A108" s="2"/>
      <c r="B108" s="689"/>
      <c r="C108" s="689"/>
      <c r="D108" s="689"/>
      <c r="E108" s="689"/>
      <c r="F108" s="689"/>
      <c r="G108" s="689"/>
      <c r="H108" s="689"/>
      <c r="I108" s="689"/>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1:65" x14ac:dyDescent="0.2">
      <c r="B109" s="689"/>
      <c r="C109" s="689"/>
      <c r="D109" s="689"/>
      <c r="E109" s="689"/>
      <c r="F109" s="689"/>
      <c r="G109" s="689"/>
      <c r="H109" s="689"/>
      <c r="I109" s="689"/>
    </row>
    <row r="110" spans="1:65" x14ac:dyDescent="0.2">
      <c r="A110" s="2"/>
      <c r="B110" s="689"/>
      <c r="C110" s="689"/>
      <c r="D110" s="689"/>
      <c r="E110" s="689"/>
      <c r="F110" s="689"/>
      <c r="G110" s="689"/>
      <c r="H110" s="689"/>
      <c r="I110" s="689"/>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65" x14ac:dyDescent="0.2">
      <c r="A111" s="2"/>
      <c r="B111" s="689"/>
      <c r="C111" s="689"/>
      <c r="D111" s="689"/>
      <c r="E111" s="689"/>
      <c r="F111" s="689"/>
      <c r="G111" s="689"/>
      <c r="H111" s="689"/>
      <c r="I111" s="689"/>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1:65" x14ac:dyDescent="0.2">
      <c r="A112" s="2"/>
      <c r="B112" s="689"/>
      <c r="C112" s="689"/>
      <c r="D112" s="689"/>
      <c r="E112" s="689"/>
      <c r="F112" s="689"/>
      <c r="G112" s="689"/>
      <c r="H112" s="689"/>
      <c r="I112" s="689"/>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1:65" x14ac:dyDescent="0.2">
      <c r="A113" s="2"/>
      <c r="B113" s="689"/>
      <c r="C113" s="689"/>
      <c r="D113" s="689"/>
      <c r="E113" s="689"/>
      <c r="F113" s="689"/>
      <c r="G113" s="689"/>
      <c r="H113" s="689"/>
      <c r="I113" s="689"/>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1:65" x14ac:dyDescent="0.2">
      <c r="A114" s="2"/>
      <c r="B114" s="689"/>
      <c r="C114" s="689"/>
      <c r="D114" s="689"/>
      <c r="E114" s="689"/>
      <c r="F114" s="689"/>
      <c r="G114" s="689"/>
      <c r="H114" s="689"/>
      <c r="I114" s="689"/>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1:65" x14ac:dyDescent="0.2">
      <c r="A115" s="2"/>
      <c r="B115" s="689"/>
      <c r="C115" s="689"/>
      <c r="D115" s="689"/>
      <c r="E115" s="689"/>
      <c r="F115" s="689"/>
      <c r="G115" s="689"/>
      <c r="H115" s="689"/>
      <c r="I115" s="689"/>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65" x14ac:dyDescent="0.2">
      <c r="A116" s="2"/>
      <c r="B116" s="689"/>
      <c r="C116" s="689"/>
      <c r="D116" s="689"/>
      <c r="E116" s="689"/>
      <c r="F116" s="689"/>
      <c r="G116" s="689"/>
      <c r="H116" s="689"/>
      <c r="I116" s="689"/>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1:65" x14ac:dyDescent="0.2">
      <c r="A117" s="2"/>
      <c r="B117" s="97"/>
      <c r="C117" s="97"/>
      <c r="D117" s="97"/>
      <c r="E117" s="97"/>
      <c r="F117" s="97"/>
      <c r="G117" s="97"/>
      <c r="H117" s="97"/>
      <c r="I117" s="97"/>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1:65" ht="19" x14ac:dyDescent="0.25">
      <c r="A118" s="2"/>
      <c r="B118" s="5" t="s">
        <v>328</v>
      </c>
      <c r="C118" s="100"/>
      <c r="D118" s="100"/>
      <c r="E118" s="100"/>
      <c r="F118" s="100"/>
      <c r="G118" s="100"/>
      <c r="H118" s="100"/>
      <c r="I118" s="100"/>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1:65" ht="16" customHeight="1" x14ac:dyDescent="0.2">
      <c r="A119" s="2"/>
      <c r="B119" s="691" t="s">
        <v>552</v>
      </c>
      <c r="C119" s="691"/>
      <c r="D119" s="691"/>
      <c r="E119" s="691"/>
      <c r="F119" s="691"/>
      <c r="G119" s="691"/>
      <c r="H119" s="691"/>
      <c r="I119" s="691"/>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1:65" x14ac:dyDescent="0.2">
      <c r="A120" s="2"/>
      <c r="B120" s="691"/>
      <c r="C120" s="691"/>
      <c r="D120" s="691"/>
      <c r="E120" s="691"/>
      <c r="F120" s="691"/>
      <c r="G120" s="691"/>
      <c r="H120" s="691"/>
      <c r="I120" s="691"/>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1:65" x14ac:dyDescent="0.2">
      <c r="A121" s="2"/>
      <c r="B121" s="691"/>
      <c r="C121" s="691"/>
      <c r="D121" s="691"/>
      <c r="E121" s="691"/>
      <c r="F121" s="691"/>
      <c r="G121" s="691"/>
      <c r="H121" s="691"/>
      <c r="I121" s="691"/>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1:65" x14ac:dyDescent="0.2">
      <c r="A122" s="2"/>
      <c r="B122" s="691"/>
      <c r="C122" s="691"/>
      <c r="D122" s="691"/>
      <c r="E122" s="691"/>
      <c r="F122" s="691"/>
      <c r="G122" s="691"/>
      <c r="H122" s="691"/>
      <c r="I122" s="691"/>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1:65" x14ac:dyDescent="0.2">
      <c r="A123" s="2"/>
      <c r="B123" s="691"/>
      <c r="C123" s="691"/>
      <c r="D123" s="691"/>
      <c r="E123" s="691"/>
      <c r="F123" s="691"/>
      <c r="G123" s="691"/>
      <c r="H123" s="691"/>
      <c r="I123" s="691"/>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1:65" x14ac:dyDescent="0.2">
      <c r="A124" s="2"/>
      <c r="B124" s="691"/>
      <c r="C124" s="691"/>
      <c r="D124" s="691"/>
      <c r="E124" s="691"/>
      <c r="F124" s="691"/>
      <c r="G124" s="691"/>
      <c r="H124" s="691"/>
      <c r="I124" s="691"/>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1:65" x14ac:dyDescent="0.2">
      <c r="A125" s="2"/>
      <c r="B125" s="691"/>
      <c r="C125" s="691"/>
      <c r="D125" s="691"/>
      <c r="E125" s="691"/>
      <c r="F125" s="691"/>
      <c r="G125" s="691"/>
      <c r="H125" s="691"/>
      <c r="I125" s="691"/>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1:65" x14ac:dyDescent="0.2">
      <c r="A126" s="2"/>
      <c r="B126" s="691"/>
      <c r="C126" s="691"/>
      <c r="D126" s="691"/>
      <c r="E126" s="691"/>
      <c r="F126" s="691"/>
      <c r="G126" s="691"/>
      <c r="H126" s="691"/>
      <c r="I126" s="691"/>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1:65" x14ac:dyDescent="0.2">
      <c r="A127" s="2"/>
      <c r="B127" s="691"/>
      <c r="C127" s="691"/>
      <c r="D127" s="691"/>
      <c r="E127" s="691"/>
      <c r="F127" s="691"/>
      <c r="G127" s="691"/>
      <c r="H127" s="691"/>
      <c r="I127" s="691"/>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1:65" x14ac:dyDescent="0.2">
      <c r="A128" s="2"/>
      <c r="B128" s="691"/>
      <c r="C128" s="691"/>
      <c r="D128" s="691"/>
      <c r="E128" s="691"/>
      <c r="F128" s="691"/>
      <c r="G128" s="691"/>
      <c r="H128" s="691"/>
      <c r="I128" s="691"/>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1:65" x14ac:dyDescent="0.2">
      <c r="A129" s="2"/>
      <c r="B129" s="691"/>
      <c r="C129" s="691"/>
      <c r="D129" s="691"/>
      <c r="E129" s="691"/>
      <c r="F129" s="691"/>
      <c r="G129" s="691"/>
      <c r="H129" s="691"/>
      <c r="I129" s="691"/>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1:65" x14ac:dyDescent="0.2">
      <c r="A130" s="2"/>
      <c r="B130" s="691"/>
      <c r="C130" s="691"/>
      <c r="D130" s="691"/>
      <c r="E130" s="691"/>
      <c r="F130" s="691"/>
      <c r="G130" s="691"/>
      <c r="H130" s="691"/>
      <c r="I130" s="691"/>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1:65" x14ac:dyDescent="0.2">
      <c r="A131" s="2"/>
      <c r="B131" s="691"/>
      <c r="C131" s="691"/>
      <c r="D131" s="691"/>
      <c r="E131" s="691"/>
      <c r="F131" s="691"/>
      <c r="G131" s="691"/>
      <c r="H131" s="691"/>
      <c r="I131" s="691"/>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1:65" x14ac:dyDescent="0.2">
      <c r="A132" s="2"/>
      <c r="B132" s="97"/>
      <c r="C132" s="97"/>
      <c r="D132" s="97"/>
      <c r="E132" s="97"/>
      <c r="F132" s="97"/>
      <c r="G132" s="97"/>
      <c r="H132" s="97"/>
      <c r="I132" s="97"/>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1:65" ht="19" x14ac:dyDescent="0.25">
      <c r="A133" s="2"/>
      <c r="B133" s="5" t="s">
        <v>327</v>
      </c>
      <c r="C133" s="100"/>
      <c r="D133" s="100"/>
      <c r="E133" s="100"/>
      <c r="F133" s="100"/>
      <c r="G133" s="100"/>
      <c r="H133" s="100"/>
      <c r="I133" s="100"/>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1:65" ht="16" customHeight="1" x14ac:dyDescent="0.2">
      <c r="A134" s="2"/>
      <c r="B134" s="689" t="s">
        <v>331</v>
      </c>
      <c r="C134" s="689"/>
      <c r="D134" s="689"/>
      <c r="E134" s="689"/>
      <c r="F134" s="689"/>
      <c r="G134" s="689"/>
      <c r="H134" s="689"/>
      <c r="I134" s="689"/>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1:65" x14ac:dyDescent="0.2">
      <c r="A135" s="2"/>
      <c r="B135" s="689"/>
      <c r="C135" s="689"/>
      <c r="D135" s="689"/>
      <c r="E135" s="689"/>
      <c r="F135" s="689"/>
      <c r="G135" s="689"/>
      <c r="H135" s="689"/>
      <c r="I135" s="689"/>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1:65" x14ac:dyDescent="0.2">
      <c r="A136" s="2"/>
      <c r="B136" s="689"/>
      <c r="C136" s="689"/>
      <c r="D136" s="689"/>
      <c r="E136" s="689"/>
      <c r="F136" s="689"/>
      <c r="G136" s="689"/>
      <c r="H136" s="689"/>
      <c r="I136" s="689"/>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1:65" x14ac:dyDescent="0.2">
      <c r="A137" s="2"/>
      <c r="B137" s="689"/>
      <c r="C137" s="689"/>
      <c r="D137" s="689"/>
      <c r="E137" s="689"/>
      <c r="F137" s="689"/>
      <c r="G137" s="689"/>
      <c r="H137" s="689"/>
      <c r="I137" s="689"/>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1:65" x14ac:dyDescent="0.2">
      <c r="A138" s="2"/>
      <c r="B138" s="689"/>
      <c r="C138" s="689"/>
      <c r="D138" s="689"/>
      <c r="E138" s="689"/>
      <c r="F138" s="689"/>
      <c r="G138" s="689"/>
      <c r="H138" s="689"/>
      <c r="I138" s="689"/>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1:65" x14ac:dyDescent="0.2">
      <c r="A139" s="2"/>
      <c r="B139" s="689"/>
      <c r="C139" s="689"/>
      <c r="D139" s="689"/>
      <c r="E139" s="689"/>
      <c r="F139" s="689"/>
      <c r="G139" s="689"/>
      <c r="H139" s="689"/>
      <c r="I139" s="689"/>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1:65" x14ac:dyDescent="0.2">
      <c r="A140" s="2"/>
      <c r="B140" s="100"/>
      <c r="C140" s="100"/>
      <c r="D140" s="100"/>
      <c r="E140" s="100"/>
      <c r="F140" s="100"/>
      <c r="G140" s="100"/>
      <c r="H140" s="100"/>
      <c r="I140" s="100"/>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1:65" ht="19" x14ac:dyDescent="0.25">
      <c r="A141" s="4" t="s">
        <v>1</v>
      </c>
      <c r="B141" s="100"/>
      <c r="C141" s="100"/>
      <c r="D141" s="100"/>
      <c r="E141" s="100"/>
      <c r="F141" s="100"/>
      <c r="G141" s="100"/>
      <c r="H141" s="100"/>
      <c r="I141" s="100"/>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1:65" x14ac:dyDescent="0.2">
      <c r="A142" s="2"/>
      <c r="B142" s="605" t="s">
        <v>564</v>
      </c>
      <c r="C142" s="100"/>
      <c r="D142" s="100"/>
      <c r="E142" s="100"/>
      <c r="F142" s="100"/>
      <c r="G142" s="100"/>
      <c r="H142" s="100"/>
      <c r="I142" s="100"/>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1:65" x14ac:dyDescent="0.2">
      <c r="A143" s="2"/>
      <c r="B143" s="100"/>
      <c r="C143" s="100"/>
      <c r="D143" s="100"/>
      <c r="E143" s="100"/>
      <c r="F143" s="100"/>
      <c r="G143" s="100"/>
      <c r="H143" s="100"/>
      <c r="I143" s="100"/>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1:65" ht="19" x14ac:dyDescent="0.25">
      <c r="A144" s="4" t="s">
        <v>0</v>
      </c>
      <c r="B144" s="100"/>
      <c r="C144" s="100"/>
      <c r="D144" s="100"/>
      <c r="E144" s="100"/>
      <c r="F144" s="100"/>
      <c r="G144" s="100"/>
      <c r="H144" s="100"/>
      <c r="I144" s="100"/>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1:65" x14ac:dyDescent="0.2">
      <c r="A145" s="2"/>
      <c r="B145" s="605" t="s">
        <v>522</v>
      </c>
      <c r="C145" s="100"/>
      <c r="D145" s="100"/>
      <c r="E145" s="100"/>
      <c r="F145" s="100"/>
      <c r="G145" s="100"/>
      <c r="H145" s="100"/>
      <c r="I145" s="100"/>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1:65" x14ac:dyDescent="0.2">
      <c r="A146" s="2"/>
      <c r="B146" s="605" t="s">
        <v>521</v>
      </c>
      <c r="C146" s="100"/>
      <c r="D146" s="100"/>
      <c r="E146" s="100"/>
      <c r="F146" s="100"/>
      <c r="G146" s="100"/>
      <c r="H146" s="100"/>
      <c r="I146" s="100"/>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1:65" x14ac:dyDescent="0.2">
      <c r="A147" s="2"/>
      <c r="B147" s="605" t="s">
        <v>595</v>
      </c>
      <c r="C147" s="100"/>
      <c r="D147" s="100"/>
      <c r="E147" s="100"/>
      <c r="F147" s="100"/>
      <c r="G147" s="100"/>
      <c r="H147" s="100"/>
      <c r="I147" s="100"/>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1:65" x14ac:dyDescent="0.2">
      <c r="A148" s="2"/>
      <c r="B148" s="100"/>
      <c r="C148" s="100"/>
      <c r="D148" s="100"/>
      <c r="E148" s="100"/>
      <c r="F148" s="100"/>
      <c r="G148" s="100"/>
      <c r="H148" s="100"/>
      <c r="I148" s="100"/>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1:65" x14ac:dyDescent="0.2">
      <c r="A149" s="2"/>
      <c r="B149" s="100"/>
      <c r="C149" s="100"/>
      <c r="D149" s="100"/>
      <c r="E149" s="100"/>
      <c r="F149" s="100"/>
      <c r="G149" s="100"/>
      <c r="H149" s="100"/>
      <c r="I149" s="100"/>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1:65" x14ac:dyDescent="0.2">
      <c r="A150" s="2"/>
      <c r="B150" s="100"/>
      <c r="C150" s="100"/>
      <c r="D150" s="100"/>
      <c r="E150" s="100"/>
      <c r="F150" s="100"/>
      <c r="G150" s="100"/>
      <c r="H150" s="100"/>
      <c r="I150" s="100"/>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1:65" x14ac:dyDescent="0.2">
      <c r="A151" s="2"/>
      <c r="B151" s="100"/>
      <c r="C151" s="100"/>
      <c r="D151" s="100"/>
      <c r="E151" s="100"/>
      <c r="F151" s="100"/>
      <c r="G151" s="100"/>
      <c r="H151" s="100"/>
      <c r="I151" s="100"/>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sheetData>
  <mergeCells count="15">
    <mergeCell ref="B134:I139"/>
    <mergeCell ref="B96:I100"/>
    <mergeCell ref="B103:I116"/>
    <mergeCell ref="B119:I131"/>
    <mergeCell ref="B83:I84"/>
    <mergeCell ref="B4:I5"/>
    <mergeCell ref="B37:I39"/>
    <mergeCell ref="B62:I64"/>
    <mergeCell ref="D43:D45"/>
    <mergeCell ref="D88:D90"/>
    <mergeCell ref="F88:F90"/>
    <mergeCell ref="G88:G90"/>
    <mergeCell ref="D7:D9"/>
    <mergeCell ref="H7:H9"/>
    <mergeCell ref="B27:I28"/>
  </mergeCells>
  <phoneticPr fontId="55" type="noConversion"/>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32AD4-6FBB-3444-BFA9-F469F4A98F85}">
  <sheetPr codeName="Sheet9"/>
  <dimension ref="A1:BM134"/>
  <sheetViews>
    <sheetView showGridLines="0" zoomScale="120" zoomScaleNormal="120" workbookViewId="0"/>
  </sheetViews>
  <sheetFormatPr baseColWidth="10" defaultColWidth="10.83203125" defaultRowHeight="16" x14ac:dyDescent="0.2"/>
  <cols>
    <col min="1" max="1" width="10.83203125" style="1"/>
    <col min="2" max="3" width="10.83203125" style="1" customWidth="1"/>
    <col min="4" max="5" width="10.83203125" style="1"/>
    <col min="6" max="6" width="10.83203125" style="1" customWidth="1"/>
    <col min="7" max="7" width="11.1640625" style="1" customWidth="1"/>
    <col min="8" max="8" width="10.83203125" style="1"/>
    <col min="9" max="10" width="10.83203125" style="1" customWidth="1"/>
    <col min="11" max="16384" width="10.83203125" style="1"/>
  </cols>
  <sheetData>
    <row r="1" spans="1:49" ht="19" x14ac:dyDescent="0.25">
      <c r="A1" s="29" t="s">
        <v>523</v>
      </c>
      <c r="B1" s="98"/>
      <c r="C1" s="98"/>
      <c r="D1" s="98"/>
      <c r="E1" s="98"/>
      <c r="F1" s="98"/>
      <c r="G1" s="98"/>
      <c r="H1" s="98"/>
      <c r="I1" s="98"/>
      <c r="J1" s="99"/>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49" x14ac:dyDescent="0.2">
      <c r="A2" s="101"/>
      <c r="B2" s="98"/>
      <c r="C2" s="98"/>
      <c r="D2" s="98"/>
      <c r="E2" s="98"/>
      <c r="F2" s="98"/>
      <c r="G2" s="98"/>
      <c r="H2" s="98"/>
      <c r="I2" s="98"/>
      <c r="J2" s="99"/>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x14ac:dyDescent="0.2">
      <c r="A3" s="102"/>
      <c r="B3" s="28" t="s">
        <v>11</v>
      </c>
      <c r="C3" s="98"/>
      <c r="D3" s="98"/>
      <c r="E3" s="98"/>
      <c r="F3" s="98"/>
      <c r="G3" s="98"/>
      <c r="H3" s="98"/>
      <c r="I3" s="98"/>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row>
    <row r="4" spans="1:49" ht="16" customHeight="1" x14ac:dyDescent="0.2">
      <c r="A4" s="102"/>
      <c r="B4" s="688" t="s">
        <v>463</v>
      </c>
      <c r="C4" s="688"/>
      <c r="D4" s="688"/>
      <c r="E4" s="688"/>
      <c r="F4" s="688"/>
      <c r="G4" s="688"/>
      <c r="H4" s="688"/>
      <c r="I4" s="688"/>
      <c r="J4" s="99"/>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1:49" ht="16" customHeight="1" x14ac:dyDescent="0.2">
      <c r="A5" s="102"/>
      <c r="B5" s="688"/>
      <c r="C5" s="688"/>
      <c r="D5" s="688"/>
      <c r="E5" s="688"/>
      <c r="F5" s="688"/>
      <c r="G5" s="688"/>
      <c r="H5" s="688"/>
      <c r="I5" s="688"/>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ht="16" customHeight="1" x14ac:dyDescent="0.2">
      <c r="A6" s="102"/>
      <c r="B6" s="245"/>
      <c r="C6" s="103"/>
      <c r="D6" s="103"/>
      <c r="E6" s="103"/>
      <c r="F6" s="103"/>
      <c r="G6" s="103"/>
      <c r="H6" s="103"/>
      <c r="I6" s="103"/>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102"/>
      <c r="B7" s="98"/>
      <c r="C7" s="520"/>
      <c r="D7" s="694" t="s">
        <v>38</v>
      </c>
      <c r="E7" s="521"/>
      <c r="F7" s="98"/>
      <c r="G7" s="520"/>
      <c r="H7" s="694" t="s">
        <v>315</v>
      </c>
      <c r="I7" s="698" t="s">
        <v>116</v>
      </c>
      <c r="J7" s="99"/>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x14ac:dyDescent="0.2">
      <c r="A8" s="102"/>
      <c r="B8" s="98"/>
      <c r="C8" s="522"/>
      <c r="D8" s="695"/>
      <c r="E8" s="270" t="s">
        <v>204</v>
      </c>
      <c r="F8" s="98"/>
      <c r="G8" s="522" t="s">
        <v>164</v>
      </c>
      <c r="H8" s="695"/>
      <c r="I8" s="699"/>
      <c r="J8" s="99"/>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49" ht="16" customHeight="1" x14ac:dyDescent="0.2">
      <c r="A9" s="102"/>
      <c r="B9" s="98"/>
      <c r="C9" s="523" t="s">
        <v>301</v>
      </c>
      <c r="D9" s="696"/>
      <c r="E9" s="271" t="s">
        <v>255</v>
      </c>
      <c r="F9" s="98"/>
      <c r="G9" s="523" t="s">
        <v>10</v>
      </c>
      <c r="H9" s="696"/>
      <c r="I9" s="700"/>
      <c r="J9" s="99"/>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x14ac:dyDescent="0.2">
      <c r="A10" s="102"/>
      <c r="B10" s="98"/>
      <c r="C10" s="508" t="s">
        <v>304</v>
      </c>
      <c r="D10" s="274">
        <v>309960</v>
      </c>
      <c r="E10" s="524">
        <v>492</v>
      </c>
      <c r="F10" s="275"/>
      <c r="G10" s="527">
        <v>2017</v>
      </c>
      <c r="H10" s="274">
        <v>1128805</v>
      </c>
      <c r="I10" s="524">
        <v>2009</v>
      </c>
      <c r="J10" s="99"/>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x14ac:dyDescent="0.2">
      <c r="A11" s="102"/>
      <c r="B11" s="98"/>
      <c r="C11" s="508" t="s">
        <v>305</v>
      </c>
      <c r="D11" s="274">
        <v>340896</v>
      </c>
      <c r="E11" s="524">
        <v>536</v>
      </c>
      <c r="F11" s="275"/>
      <c r="G11" s="508">
        <v>2018</v>
      </c>
      <c r="H11" s="274">
        <v>1182755</v>
      </c>
      <c r="I11" s="524">
        <v>2001</v>
      </c>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x14ac:dyDescent="0.2">
      <c r="A12" s="102"/>
      <c r="B12" s="98"/>
      <c r="C12" s="508" t="s">
        <v>306</v>
      </c>
      <c r="D12" s="274">
        <v>347964</v>
      </c>
      <c r="E12" s="524">
        <v>542</v>
      </c>
      <c r="F12" s="275"/>
      <c r="G12" s="508">
        <v>2019</v>
      </c>
      <c r="H12" s="274">
        <v>1237389</v>
      </c>
      <c r="I12" s="524">
        <v>2046</v>
      </c>
      <c r="J12" s="99"/>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x14ac:dyDescent="0.2">
      <c r="A13" s="102"/>
      <c r="B13" s="98"/>
      <c r="C13" s="508" t="s">
        <v>307</v>
      </c>
      <c r="D13" s="274">
        <v>326592</v>
      </c>
      <c r="E13" s="524">
        <v>504</v>
      </c>
      <c r="F13" s="275"/>
      <c r="G13" s="508">
        <v>2020</v>
      </c>
      <c r="H13" s="274">
        <v>1298903</v>
      </c>
      <c r="I13" s="524">
        <v>2067</v>
      </c>
      <c r="J13" s="99"/>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x14ac:dyDescent="0.2">
      <c r="A14" s="102"/>
      <c r="B14" s="98"/>
      <c r="C14" s="508" t="s">
        <v>310</v>
      </c>
      <c r="D14" s="274">
        <v>331578</v>
      </c>
      <c r="E14" s="524">
        <v>507</v>
      </c>
      <c r="F14" s="275"/>
      <c r="G14" s="507">
        <v>2021</v>
      </c>
      <c r="H14" s="525">
        <v>1398917</v>
      </c>
      <c r="I14" s="526">
        <v>2130</v>
      </c>
      <c r="J14" s="9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x14ac:dyDescent="0.2">
      <c r="A15" s="102"/>
      <c r="B15" s="98"/>
      <c r="C15" s="508" t="s">
        <v>311</v>
      </c>
      <c r="D15" s="274">
        <v>364872</v>
      </c>
      <c r="E15" s="524">
        <v>552</v>
      </c>
      <c r="F15" s="275"/>
      <c r="G15" s="275"/>
      <c r="H15" s="275"/>
      <c r="I15" s="275"/>
      <c r="J15" s="99"/>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x14ac:dyDescent="0.2">
      <c r="A16" s="102"/>
      <c r="B16" s="98"/>
      <c r="C16" s="508" t="s">
        <v>308</v>
      </c>
      <c r="D16" s="274">
        <v>372744</v>
      </c>
      <c r="E16" s="524">
        <v>558</v>
      </c>
      <c r="F16" s="275"/>
      <c r="G16" s="275"/>
      <c r="H16" s="275"/>
      <c r="I16" s="275"/>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x14ac:dyDescent="0.2">
      <c r="A17" s="102"/>
      <c r="B17" s="98"/>
      <c r="C17" s="507" t="s">
        <v>309</v>
      </c>
      <c r="D17" s="525">
        <v>350325</v>
      </c>
      <c r="E17" s="526">
        <v>519</v>
      </c>
      <c r="F17" s="275"/>
      <c r="G17" s="275"/>
      <c r="H17" s="275"/>
      <c r="I17" s="275"/>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x14ac:dyDescent="0.2">
      <c r="A18" s="102"/>
      <c r="B18" s="98"/>
      <c r="C18" s="98"/>
      <c r="D18" s="98"/>
      <c r="E18" s="98"/>
      <c r="F18" s="98"/>
      <c r="G18" s="98"/>
      <c r="H18" s="98"/>
      <c r="I18" s="98"/>
      <c r="J18" s="99"/>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x14ac:dyDescent="0.2">
      <c r="A19" s="102"/>
      <c r="B19" s="688" t="s">
        <v>565</v>
      </c>
      <c r="C19" s="688"/>
      <c r="D19" s="688"/>
      <c r="E19" s="688"/>
      <c r="F19" s="688"/>
      <c r="G19" s="688"/>
      <c r="H19" s="688"/>
      <c r="I19" s="688"/>
      <c r="J19" s="99"/>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x14ac:dyDescent="0.2">
      <c r="A20" s="102"/>
      <c r="B20" s="688"/>
      <c r="C20" s="688"/>
      <c r="D20" s="688"/>
      <c r="E20" s="688"/>
      <c r="F20" s="688"/>
      <c r="G20" s="688"/>
      <c r="H20" s="688"/>
      <c r="I20" s="688"/>
      <c r="J20" s="99"/>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x14ac:dyDescent="0.2">
      <c r="A21" s="102"/>
      <c r="B21" s="688"/>
      <c r="C21" s="688"/>
      <c r="D21" s="688"/>
      <c r="E21" s="688"/>
      <c r="F21" s="688"/>
      <c r="G21" s="688"/>
      <c r="H21" s="688"/>
      <c r="I21" s="688"/>
      <c r="J21" s="99"/>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x14ac:dyDescent="0.2">
      <c r="A22" s="102"/>
      <c r="B22" s="98"/>
      <c r="C22" s="248"/>
      <c r="D22" s="104"/>
      <c r="E22" s="104"/>
      <c r="F22" s="98"/>
      <c r="G22" s="98"/>
      <c r="H22" s="98"/>
      <c r="I22" s="98"/>
      <c r="J22" s="99"/>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x14ac:dyDescent="0.2">
      <c r="A23" s="102"/>
      <c r="B23" s="72" t="s">
        <v>525</v>
      </c>
      <c r="C23" s="104"/>
      <c r="D23" s="106"/>
      <c r="E23" s="104"/>
      <c r="F23" s="104"/>
      <c r="G23" s="98"/>
      <c r="H23" s="98"/>
      <c r="I23" s="98"/>
      <c r="J23" s="99"/>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x14ac:dyDescent="0.2">
      <c r="A24" s="102"/>
      <c r="B24" s="72" t="s">
        <v>332</v>
      </c>
      <c r="C24" s="104"/>
      <c r="D24" s="106"/>
      <c r="E24" s="104"/>
      <c r="F24" s="269">
        <v>45017</v>
      </c>
      <c r="G24" s="98"/>
      <c r="H24" s="98"/>
      <c r="I24" s="98"/>
      <c r="J24" s="99"/>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x14ac:dyDescent="0.2">
      <c r="A25" s="102"/>
      <c r="B25" s="72" t="s">
        <v>333</v>
      </c>
      <c r="C25" s="104"/>
      <c r="D25" s="106"/>
      <c r="E25" s="104"/>
      <c r="F25" s="98"/>
      <c r="G25" s="98"/>
      <c r="H25" s="98"/>
      <c r="I25" s="98"/>
      <c r="J25" s="99"/>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x14ac:dyDescent="0.2">
      <c r="A26" s="102"/>
      <c r="B26" s="98"/>
      <c r="C26" s="104"/>
      <c r="D26" s="104"/>
      <c r="E26" s="104"/>
      <c r="F26" s="98"/>
      <c r="G26" s="98"/>
      <c r="H26" s="98"/>
      <c r="I26" s="98"/>
      <c r="J26" s="99"/>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ht="16" customHeight="1" x14ac:dyDescent="0.2">
      <c r="A27" s="102"/>
      <c r="B27" s="688" t="s">
        <v>334</v>
      </c>
      <c r="C27" s="688"/>
      <c r="D27" s="688"/>
      <c r="E27" s="688"/>
      <c r="F27" s="688"/>
      <c r="G27" s="688"/>
      <c r="H27" s="688"/>
      <c r="I27" s="688"/>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ht="16" customHeight="1" x14ac:dyDescent="0.2">
      <c r="A28" s="102"/>
      <c r="B28" s="688"/>
      <c r="C28" s="688"/>
      <c r="D28" s="688"/>
      <c r="E28" s="688"/>
      <c r="F28" s="688"/>
      <c r="G28" s="688"/>
      <c r="H28" s="688"/>
      <c r="I28" s="688"/>
      <c r="J28" s="99"/>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ht="17" thickBot="1" x14ac:dyDescent="0.25">
      <c r="A29" s="108"/>
      <c r="B29" s="109"/>
      <c r="C29" s="110"/>
      <c r="D29" s="110"/>
      <c r="E29" s="110"/>
      <c r="F29" s="109"/>
      <c r="G29" s="109"/>
      <c r="H29" s="109"/>
      <c r="I29" s="109"/>
      <c r="J29" s="111"/>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x14ac:dyDescent="0.2">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ht="19" x14ac:dyDescent="0.25">
      <c r="A31" s="4" t="s">
        <v>9</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ht="16" customHeight="1" x14ac:dyDescent="0.2">
      <c r="A32" s="6" t="s">
        <v>8</v>
      </c>
      <c r="B32" s="632" t="s">
        <v>341</v>
      </c>
      <c r="C32" s="632"/>
      <c r="D32" s="632"/>
      <c r="E32" s="632"/>
      <c r="F32" s="632"/>
      <c r="G32" s="632"/>
      <c r="H32" s="632"/>
      <c r="I32" s="632"/>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50" ht="16" customHeight="1" x14ac:dyDescent="0.2">
      <c r="A33" s="6"/>
      <c r="B33" s="632"/>
      <c r="C33" s="632"/>
      <c r="D33" s="632"/>
      <c r="E33" s="632"/>
      <c r="F33" s="632"/>
      <c r="G33" s="632"/>
      <c r="H33" s="632"/>
      <c r="I33" s="632"/>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50" ht="16" customHeight="1" thickBot="1" x14ac:dyDescent="0.25">
      <c r="A34" s="6"/>
      <c r="B34" s="7"/>
      <c r="C34" s="7"/>
      <c r="D34" s="7"/>
      <c r="E34" s="7"/>
      <c r="F34" s="7"/>
      <c r="G34" s="7"/>
      <c r="H34" s="7"/>
      <c r="I34" s="7"/>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50" ht="16" customHeight="1" thickBot="1" x14ac:dyDescent="0.25">
      <c r="A35" s="6"/>
      <c r="B35" s="7"/>
      <c r="C35" s="7"/>
      <c r="D35" s="7"/>
      <c r="E35" s="7"/>
      <c r="F35" s="7"/>
      <c r="G35" s="606" t="s">
        <v>342</v>
      </c>
      <c r="H35" s="607"/>
      <c r="I35" s="610">
        <f>D17/E17</f>
        <v>675</v>
      </c>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50" ht="16" customHeight="1" x14ac:dyDescent="0.2">
      <c r="A36" s="6"/>
      <c r="B36" s="7"/>
      <c r="C36" s="7"/>
      <c r="D36" s="7"/>
      <c r="E36" s="7"/>
      <c r="F36" s="7"/>
      <c r="G36" s="7"/>
      <c r="H36" s="7"/>
      <c r="I36" s="7"/>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50" ht="16" customHeight="1" x14ac:dyDescent="0.2">
      <c r="A37" s="6"/>
      <c r="B37" s="7"/>
      <c r="C37" s="7"/>
      <c r="D37" s="7"/>
      <c r="E37" s="7"/>
      <c r="F37" s="7"/>
      <c r="G37" s="7"/>
      <c r="H37" s="7"/>
      <c r="I37" s="7"/>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50" ht="16" customHeight="1" x14ac:dyDescent="0.2">
      <c r="A38" s="6" t="s">
        <v>7</v>
      </c>
      <c r="B38" s="632" t="s">
        <v>336</v>
      </c>
      <c r="C38" s="632"/>
      <c r="D38" s="632"/>
      <c r="E38" s="632"/>
      <c r="F38" s="632"/>
      <c r="G38" s="632"/>
      <c r="H38" s="632"/>
      <c r="I38" s="632"/>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50" ht="16" customHeight="1" x14ac:dyDescent="0.2">
      <c r="A39" s="6"/>
      <c r="B39" s="632"/>
      <c r="C39" s="632"/>
      <c r="D39" s="632"/>
      <c r="E39" s="632"/>
      <c r="F39" s="632"/>
      <c r="G39" s="632"/>
      <c r="H39" s="632"/>
      <c r="I39" s="632"/>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50" ht="16" customHeight="1" x14ac:dyDescent="0.2">
      <c r="A40" s="6"/>
      <c r="B40" s="632"/>
      <c r="C40" s="632"/>
      <c r="D40" s="632"/>
      <c r="E40" s="632"/>
      <c r="F40" s="632"/>
      <c r="G40" s="632"/>
      <c r="H40" s="632"/>
      <c r="I40" s="632"/>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50" ht="16" customHeight="1" x14ac:dyDescent="0.2">
      <c r="A41" s="6"/>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50" ht="16" customHeight="1" x14ac:dyDescent="0.2">
      <c r="A42" s="6"/>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3" spans="1:50" ht="16" customHeight="1" x14ac:dyDescent="0.2">
      <c r="A43" s="6"/>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row>
    <row r="44" spans="1:50" ht="16" customHeight="1" x14ac:dyDescent="0.2">
      <c r="A44" s="6"/>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50" ht="16" customHeight="1" x14ac:dyDescent="0.2">
      <c r="A45" s="6"/>
      <c r="B45" s="100"/>
      <c r="C45" s="280"/>
      <c r="D45" s="281" t="s">
        <v>222</v>
      </c>
      <c r="E45" s="273"/>
      <c r="F45" s="282" t="s">
        <v>167</v>
      </c>
      <c r="G45" s="276"/>
      <c r="H45" s="272"/>
      <c r="I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row>
    <row r="46" spans="1:50" ht="16" customHeight="1" x14ac:dyDescent="0.2">
      <c r="A46" s="6"/>
      <c r="B46" s="100"/>
      <c r="C46" s="282" t="s">
        <v>164</v>
      </c>
      <c r="D46" s="281" t="s">
        <v>205</v>
      </c>
      <c r="E46" s="276" t="s">
        <v>222</v>
      </c>
      <c r="F46" s="282" t="s">
        <v>171</v>
      </c>
      <c r="G46" s="276" t="s">
        <v>344</v>
      </c>
      <c r="H46" s="272"/>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row>
    <row r="47" spans="1:50" ht="16" customHeight="1" x14ac:dyDescent="0.2">
      <c r="A47" s="6"/>
      <c r="B47" s="100"/>
      <c r="C47" s="283" t="s">
        <v>10</v>
      </c>
      <c r="D47" s="284" t="s">
        <v>318</v>
      </c>
      <c r="E47" s="284" t="s">
        <v>255</v>
      </c>
      <c r="F47" s="283" t="s">
        <v>318</v>
      </c>
      <c r="G47" s="284" t="s">
        <v>343</v>
      </c>
      <c r="H47" s="272"/>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row>
    <row r="48" spans="1:50" ht="16" customHeight="1" x14ac:dyDescent="0.2">
      <c r="A48" s="6"/>
      <c r="B48" s="100"/>
      <c r="C48" s="277">
        <f t="shared" ref="C48:E52" si="0">G10</f>
        <v>2017</v>
      </c>
      <c r="D48" s="278">
        <f t="shared" si="0"/>
        <v>1128805</v>
      </c>
      <c r="E48" s="278">
        <f t="shared" si="0"/>
        <v>2009</v>
      </c>
      <c r="F48" s="285">
        <f>D48/E48</f>
        <v>561.87406669985069</v>
      </c>
      <c r="G48" s="286">
        <f>$I$35/F48</f>
        <v>1.2013368119382888</v>
      </c>
      <c r="H48" s="477"/>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row>
    <row r="49" spans="1:50" ht="16" customHeight="1" x14ac:dyDescent="0.2">
      <c r="A49" s="6"/>
      <c r="B49" s="100"/>
      <c r="C49" s="279">
        <f t="shared" si="0"/>
        <v>2018</v>
      </c>
      <c r="D49" s="278">
        <f t="shared" si="0"/>
        <v>1182755</v>
      </c>
      <c r="E49" s="278">
        <f t="shared" si="0"/>
        <v>2001</v>
      </c>
      <c r="F49" s="285">
        <f t="shared" ref="F49:F52" si="1">D49/E49</f>
        <v>591.08195902048976</v>
      </c>
      <c r="G49" s="286">
        <f>$I$35/F49</f>
        <v>1.141973612455665</v>
      </c>
      <c r="H49" s="477"/>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row>
    <row r="50" spans="1:50" ht="16" customHeight="1" x14ac:dyDescent="0.2">
      <c r="A50" s="6"/>
      <c r="B50" s="100"/>
      <c r="C50" s="279">
        <f t="shared" si="0"/>
        <v>2019</v>
      </c>
      <c r="D50" s="278">
        <f t="shared" si="0"/>
        <v>1237389</v>
      </c>
      <c r="E50" s="278">
        <f t="shared" si="0"/>
        <v>2046</v>
      </c>
      <c r="F50" s="285">
        <f t="shared" si="1"/>
        <v>604.78445747800583</v>
      </c>
      <c r="G50" s="286">
        <f>$I$35/F50</f>
        <v>1.116100110797817</v>
      </c>
      <c r="H50" s="477"/>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row>
    <row r="51" spans="1:50" ht="16" customHeight="1" x14ac:dyDescent="0.2">
      <c r="A51" s="6"/>
      <c r="B51" s="100"/>
      <c r="C51" s="279">
        <f t="shared" si="0"/>
        <v>2020</v>
      </c>
      <c r="D51" s="278">
        <f t="shared" si="0"/>
        <v>1298903</v>
      </c>
      <c r="E51" s="278">
        <f t="shared" si="0"/>
        <v>2067</v>
      </c>
      <c r="F51" s="285">
        <f t="shared" si="1"/>
        <v>628.40009675858732</v>
      </c>
      <c r="G51" s="286">
        <f>$I$35/F51</f>
        <v>1.0741564227659801</v>
      </c>
      <c r="H51" s="477"/>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row>
    <row r="52" spans="1:50" ht="16" customHeight="1" x14ac:dyDescent="0.2">
      <c r="A52" s="6"/>
      <c r="B52" s="100"/>
      <c r="C52" s="279">
        <f t="shared" si="0"/>
        <v>2021</v>
      </c>
      <c r="D52" s="278">
        <f t="shared" si="0"/>
        <v>1398917</v>
      </c>
      <c r="E52" s="278">
        <f t="shared" si="0"/>
        <v>2130</v>
      </c>
      <c r="F52" s="285">
        <f t="shared" si="1"/>
        <v>656.76854460093898</v>
      </c>
      <c r="G52" s="286">
        <f>$I$35/F52</f>
        <v>1.0277593309681703</v>
      </c>
      <c r="H52" s="477"/>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row>
    <row r="53" spans="1:50" x14ac:dyDescent="0.2">
      <c r="G53" s="272"/>
    </row>
    <row r="54" spans="1:50" ht="16" customHeight="1" x14ac:dyDescent="0.2">
      <c r="A54" s="6" t="s">
        <v>6</v>
      </c>
      <c r="B54" s="632" t="s">
        <v>337</v>
      </c>
      <c r="C54" s="632"/>
      <c r="D54" s="632"/>
      <c r="E54" s="632"/>
      <c r="F54" s="632"/>
      <c r="G54" s="632"/>
      <c r="H54" s="632"/>
      <c r="I54" s="632"/>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50" ht="16" customHeight="1" x14ac:dyDescent="0.2">
      <c r="A55" s="6"/>
      <c r="B55" s="632"/>
      <c r="C55" s="632"/>
      <c r="D55" s="632"/>
      <c r="E55" s="632"/>
      <c r="F55" s="632"/>
      <c r="G55" s="632"/>
      <c r="H55" s="632"/>
      <c r="I55" s="632"/>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50" ht="16" customHeight="1" x14ac:dyDescent="0.2">
      <c r="A56" s="6"/>
      <c r="B56" s="632"/>
      <c r="C56" s="632"/>
      <c r="D56" s="632"/>
      <c r="E56" s="632"/>
      <c r="F56" s="632"/>
      <c r="G56" s="632"/>
      <c r="H56" s="632"/>
      <c r="I56" s="632"/>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50" ht="16" customHeight="1" x14ac:dyDescent="0.2">
      <c r="A57" s="6"/>
      <c r="B57" s="100"/>
      <c r="C57" s="100"/>
      <c r="D57" s="100"/>
      <c r="E57" s="100"/>
      <c r="F57" s="100"/>
      <c r="G57" s="100"/>
      <c r="H57" s="100"/>
      <c r="I57" s="7"/>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50" ht="16" customHeight="1" x14ac:dyDescent="0.2">
      <c r="A58" s="6"/>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50" ht="16" customHeight="1" x14ac:dyDescent="0.2">
      <c r="A59" s="6"/>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50" ht="16" customHeight="1" x14ac:dyDescent="0.2">
      <c r="A60" s="6"/>
      <c r="B60" s="273"/>
      <c r="E60" s="273"/>
      <c r="F60" s="289" t="s">
        <v>352</v>
      </c>
      <c r="G60" s="288">
        <v>44515</v>
      </c>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50" ht="16" customHeight="1" thickBot="1" x14ac:dyDescent="0.25">
      <c r="A61" s="6"/>
      <c r="B61" s="100"/>
      <c r="E61" s="100"/>
      <c r="F61" s="289" t="s">
        <v>353</v>
      </c>
      <c r="G61" s="288">
        <v>45199</v>
      </c>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50" ht="16" customHeight="1" thickBot="1" x14ac:dyDescent="0.25">
      <c r="A62" s="6"/>
      <c r="B62" s="100"/>
      <c r="E62" s="403"/>
      <c r="F62" s="611" t="s">
        <v>566</v>
      </c>
      <c r="G62" s="609">
        <f>3/24+1+3/4</f>
        <v>1.875</v>
      </c>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50" ht="16" customHeight="1" x14ac:dyDescent="0.2">
      <c r="A63" s="6"/>
      <c r="B63" s="7"/>
      <c r="C63" s="7"/>
      <c r="D63" s="7"/>
      <c r="E63" s="7"/>
      <c r="F63" s="7"/>
      <c r="G63" s="7"/>
      <c r="H63" s="7"/>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50" ht="16" customHeight="1" x14ac:dyDescent="0.2">
      <c r="A64" s="6"/>
      <c r="B64" s="7"/>
      <c r="C64" s="7"/>
      <c r="D64" s="7"/>
      <c r="E64" s="7"/>
      <c r="F64" s="7"/>
      <c r="G64" s="7"/>
      <c r="H64" s="7"/>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ht="16" customHeight="1" x14ac:dyDescent="0.2">
      <c r="A65" s="6"/>
      <c r="B65" s="7"/>
      <c r="C65" s="7"/>
      <c r="D65" s="7"/>
      <c r="E65" s="7"/>
      <c r="F65" s="7"/>
      <c r="G65" s="7"/>
      <c r="H65" s="7"/>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ht="16" customHeight="1" x14ac:dyDescent="0.2">
      <c r="A66" s="6"/>
      <c r="B66" s="7"/>
      <c r="C66" s="7"/>
      <c r="D66" s="7"/>
      <c r="E66" s="7"/>
      <c r="F66" s="7"/>
      <c r="G66" s="7"/>
      <c r="H66" s="7"/>
      <c r="I66" s="100"/>
      <c r="J66" s="100"/>
      <c r="K66" s="100"/>
      <c r="L66" s="2"/>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ht="16" customHeight="1" x14ac:dyDescent="0.2">
      <c r="A67" s="6"/>
      <c r="B67" s="7"/>
      <c r="C67" s="7"/>
      <c r="D67" s="7"/>
      <c r="E67" s="7"/>
      <c r="F67" s="7"/>
      <c r="G67" s="7"/>
      <c r="H67" s="7"/>
      <c r="I67" s="100"/>
      <c r="J67" s="100"/>
      <c r="K67" s="100"/>
      <c r="L67" s="2"/>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ht="16" customHeight="1" x14ac:dyDescent="0.2">
      <c r="A68" s="6"/>
      <c r="B68" s="7"/>
      <c r="C68" s="7"/>
      <c r="D68" s="7"/>
      <c r="E68" s="7"/>
      <c r="F68" s="7"/>
      <c r="G68" s="7"/>
      <c r="H68" s="7"/>
      <c r="I68" s="100"/>
      <c r="J68" s="100"/>
      <c r="K68" s="100"/>
      <c r="L68" s="2"/>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ht="16" customHeight="1" x14ac:dyDescent="0.2">
      <c r="A69" s="6"/>
      <c r="B69" s="7"/>
      <c r="C69" s="7"/>
      <c r="D69" s="7"/>
      <c r="E69" s="7"/>
      <c r="F69" s="7"/>
      <c r="G69" s="7"/>
      <c r="H69" s="7"/>
      <c r="I69" s="100"/>
      <c r="J69" s="100"/>
      <c r="K69" s="100"/>
      <c r="L69" s="2"/>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ht="16" customHeight="1" x14ac:dyDescent="0.2">
      <c r="A70" s="6"/>
      <c r="B70" s="7"/>
      <c r="C70" s="7"/>
      <c r="D70" s="7"/>
      <c r="E70" s="7"/>
      <c r="F70" s="7"/>
      <c r="G70" s="7"/>
      <c r="H70" s="7"/>
      <c r="I70" s="100"/>
      <c r="J70" s="100"/>
      <c r="K70" s="100"/>
      <c r="L70" s="2"/>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ht="16" customHeight="1" x14ac:dyDescent="0.2">
      <c r="A71" s="6"/>
      <c r="B71" s="7"/>
      <c r="C71" s="7"/>
      <c r="D71" s="7"/>
      <c r="E71" s="7"/>
      <c r="F71" s="7"/>
      <c r="G71" s="7"/>
      <c r="H71" s="7"/>
      <c r="I71" s="100"/>
      <c r="J71" s="100"/>
      <c r="K71" s="100"/>
      <c r="L71" s="2"/>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ht="16" customHeight="1" x14ac:dyDescent="0.2">
      <c r="A72" s="6"/>
      <c r="B72" s="7"/>
      <c r="C72" s="7"/>
      <c r="D72" s="7"/>
      <c r="E72" s="7"/>
      <c r="F72" s="7"/>
      <c r="G72" s="7"/>
      <c r="H72" s="7"/>
      <c r="I72" s="100"/>
      <c r="J72" s="100"/>
      <c r="K72" s="100"/>
      <c r="L72" s="2"/>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ht="16" customHeight="1" x14ac:dyDescent="0.2">
      <c r="A73" s="6"/>
      <c r="B73" s="7"/>
      <c r="C73" s="7"/>
      <c r="D73" s="7"/>
      <c r="E73" s="7"/>
      <c r="F73" s="7"/>
      <c r="G73" s="7"/>
      <c r="H73" s="7"/>
      <c r="I73" s="100"/>
      <c r="J73" s="100"/>
      <c r="K73" s="100"/>
      <c r="L73" s="2"/>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ht="16" customHeight="1" x14ac:dyDescent="0.2">
      <c r="A74" s="6"/>
      <c r="B74" s="7"/>
      <c r="C74" s="7"/>
      <c r="D74" s="7"/>
      <c r="E74" s="7"/>
      <c r="F74" s="7"/>
      <c r="G74" s="7"/>
      <c r="H74" s="7"/>
      <c r="I74" s="100"/>
      <c r="J74" s="100"/>
      <c r="K74" s="100"/>
      <c r="L74" s="2"/>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ht="16" customHeight="1" x14ac:dyDescent="0.2">
      <c r="A75" s="6"/>
      <c r="B75" s="7"/>
      <c r="C75" s="7"/>
      <c r="D75" s="7"/>
      <c r="E75" s="7"/>
      <c r="F75" s="7"/>
      <c r="G75" s="7"/>
      <c r="H75" s="7"/>
      <c r="I75" s="100"/>
      <c r="J75" s="100"/>
      <c r="K75" s="100"/>
      <c r="L75" s="2"/>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ht="16" customHeight="1" x14ac:dyDescent="0.2">
      <c r="A76" s="6"/>
      <c r="B76" s="7"/>
      <c r="C76" s="7"/>
      <c r="D76" s="7"/>
      <c r="E76" s="7"/>
      <c r="F76" s="7"/>
      <c r="G76" s="7"/>
      <c r="H76" s="7"/>
      <c r="I76" s="100"/>
      <c r="J76" s="100"/>
      <c r="K76" s="100"/>
      <c r="L76" s="2"/>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ht="16" customHeight="1" x14ac:dyDescent="0.2">
      <c r="A77" s="6"/>
      <c r="C77" s="100"/>
      <c r="D77" s="100"/>
      <c r="E77"/>
      <c r="F77" s="100"/>
      <c r="G77" s="100"/>
      <c r="H77" s="100"/>
      <c r="I77" s="100"/>
      <c r="J77" s="100"/>
      <c r="K77" s="100"/>
      <c r="L77" s="2"/>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ht="16" customHeight="1" x14ac:dyDescent="0.2">
      <c r="A78" s="6" t="s">
        <v>5</v>
      </c>
      <c r="B78" s="632" t="s">
        <v>339</v>
      </c>
      <c r="C78" s="632"/>
      <c r="D78" s="632"/>
      <c r="E78" s="632"/>
      <c r="F78" s="632"/>
      <c r="G78" s="632"/>
      <c r="H78" s="632"/>
      <c r="I78" s="632"/>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ht="16" customHeight="1" x14ac:dyDescent="0.2">
      <c r="A79" s="6"/>
      <c r="B79" s="632"/>
      <c r="C79" s="632"/>
      <c r="D79" s="632"/>
      <c r="E79" s="632"/>
      <c r="F79" s="632"/>
      <c r="G79" s="632"/>
      <c r="H79" s="632"/>
      <c r="I79" s="632"/>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ht="16" customHeight="1" x14ac:dyDescent="0.2">
      <c r="A80" s="6"/>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50" ht="16" customHeight="1" x14ac:dyDescent="0.2">
      <c r="A81" s="6"/>
      <c r="C81" s="100"/>
      <c r="D81" s="100"/>
      <c r="E81"/>
      <c r="F81" s="100"/>
      <c r="G81" s="273" t="s">
        <v>346</v>
      </c>
      <c r="I81" s="212">
        <v>0.03</v>
      </c>
      <c r="J81" s="100"/>
      <c r="K81" s="100"/>
      <c r="L81" s="2"/>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50" ht="16" customHeight="1" thickBot="1" x14ac:dyDescent="0.25">
      <c r="A82" s="6"/>
      <c r="C82" s="100"/>
      <c r="D82" s="100"/>
      <c r="E82"/>
      <c r="F82" s="100"/>
      <c r="G82" s="100"/>
      <c r="H82" s="100"/>
      <c r="I82" s="100"/>
      <c r="J82" s="100"/>
      <c r="K82" s="100"/>
      <c r="L82" s="2"/>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50" ht="16" customHeight="1" thickBot="1" x14ac:dyDescent="0.25">
      <c r="A83" s="6"/>
      <c r="C83" s="100"/>
      <c r="D83" s="100"/>
      <c r="E83"/>
      <c r="F83" s="100"/>
      <c r="G83" s="606" t="s">
        <v>345</v>
      </c>
      <c r="H83" s="607"/>
      <c r="I83" s="608">
        <f>(1+I81)^G62</f>
        <v>1.0569873660872433</v>
      </c>
      <c r="J83" s="100"/>
      <c r="K83" s="100"/>
      <c r="L83" s="2"/>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50" ht="16" customHeight="1" x14ac:dyDescent="0.2">
      <c r="A84" s="6"/>
      <c r="C84" s="100"/>
      <c r="D84" s="100"/>
      <c r="E84"/>
      <c r="F84" s="100"/>
      <c r="G84" s="100"/>
      <c r="H84" s="100"/>
      <c r="I84" s="100"/>
      <c r="J84" s="100"/>
      <c r="K84" s="100"/>
      <c r="L84" s="2"/>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50" ht="16" customHeight="1" x14ac:dyDescent="0.2">
      <c r="A85" s="6" t="s">
        <v>4</v>
      </c>
      <c r="B85" s="632" t="s">
        <v>340</v>
      </c>
      <c r="C85" s="632"/>
      <c r="D85" s="632"/>
      <c r="E85" s="632"/>
      <c r="F85" s="632"/>
      <c r="G85" s="632"/>
      <c r="H85" s="632"/>
      <c r="I85" s="632"/>
      <c r="J85" s="100"/>
      <c r="K85" s="100"/>
      <c r="L85" s="2"/>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50" ht="16" customHeight="1" x14ac:dyDescent="0.2">
      <c r="A86" s="6"/>
      <c r="B86" s="632"/>
      <c r="C86" s="632"/>
      <c r="D86" s="632"/>
      <c r="E86" s="632"/>
      <c r="F86" s="632"/>
      <c r="G86" s="632"/>
      <c r="H86" s="632"/>
      <c r="I86" s="632"/>
      <c r="J86" s="100"/>
      <c r="K86" s="100"/>
      <c r="L86" s="2"/>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50" ht="16" customHeight="1" x14ac:dyDescent="0.2">
      <c r="A87" s="6"/>
      <c r="B87" s="632"/>
      <c r="C87" s="632"/>
      <c r="D87" s="632"/>
      <c r="E87" s="632"/>
      <c r="F87" s="632"/>
      <c r="G87" s="632"/>
      <c r="H87" s="632"/>
      <c r="I87" s="632"/>
      <c r="J87" s="100"/>
      <c r="K87" s="100"/>
      <c r="L87" s="2"/>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50" ht="16" customHeight="1" x14ac:dyDescent="0.2">
      <c r="A88" s="6"/>
      <c r="B88" s="100"/>
      <c r="C88" s="100"/>
      <c r="D88" s="100"/>
      <c r="E88" s="100"/>
      <c r="F88" s="100"/>
      <c r="G88" s="100"/>
      <c r="H88" s="100"/>
      <c r="I88" s="100"/>
      <c r="J88" s="100"/>
      <c r="K88" s="100"/>
      <c r="L88" s="2"/>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50" ht="16" customHeight="1" x14ac:dyDescent="0.2">
      <c r="A89" s="6"/>
      <c r="B89" s="100"/>
      <c r="C89" s="100"/>
      <c r="D89" s="100"/>
      <c r="E89" s="100"/>
      <c r="F89" s="100"/>
      <c r="G89" s="100"/>
      <c r="H89" s="100"/>
      <c r="I89" s="100"/>
      <c r="J89" s="100"/>
      <c r="K89" s="100"/>
      <c r="L89" s="2"/>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50" ht="16" customHeight="1" thickBot="1" x14ac:dyDescent="0.25">
      <c r="A90" s="6"/>
      <c r="B90" s="100"/>
      <c r="C90" s="100"/>
      <c r="D90" s="100"/>
      <c r="E90" s="100"/>
      <c r="F90" s="100"/>
      <c r="G90" s="100"/>
      <c r="H90" s="100"/>
      <c r="I90" s="100"/>
      <c r="J90" s="100"/>
      <c r="K90" s="100"/>
      <c r="L90" s="2"/>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row>
    <row r="91" spans="1:50" ht="16" customHeight="1" x14ac:dyDescent="0.2">
      <c r="A91" s="6"/>
      <c r="C91" s="280"/>
      <c r="D91" s="281" t="s">
        <v>222</v>
      </c>
      <c r="E91" s="281" t="s">
        <v>347</v>
      </c>
      <c r="F91" s="281" t="s">
        <v>348</v>
      </c>
      <c r="G91" s="701" t="s">
        <v>323</v>
      </c>
      <c r="H91" s="100"/>
      <c r="I91" s="100"/>
      <c r="J91" s="100"/>
      <c r="K91" s="100"/>
      <c r="L91" s="100"/>
      <c r="M91" s="2"/>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row>
    <row r="92" spans="1:50" ht="16" customHeight="1" x14ac:dyDescent="0.2">
      <c r="A92" s="6"/>
      <c r="C92" s="282" t="s">
        <v>164</v>
      </c>
      <c r="D92" s="281" t="s">
        <v>205</v>
      </c>
      <c r="E92" s="281" t="s">
        <v>344</v>
      </c>
      <c r="F92" s="281" t="s">
        <v>349</v>
      </c>
      <c r="G92" s="680"/>
      <c r="H92" s="100"/>
      <c r="I92" s="100"/>
      <c r="J92" s="100"/>
      <c r="K92" s="100"/>
      <c r="L92" s="100"/>
      <c r="M92" s="2"/>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row>
    <row r="93" spans="1:50" ht="16" customHeight="1" x14ac:dyDescent="0.2">
      <c r="A93" s="6"/>
      <c r="C93" s="283" t="s">
        <v>10</v>
      </c>
      <c r="D93" s="284" t="s">
        <v>318</v>
      </c>
      <c r="E93" s="284" t="s">
        <v>343</v>
      </c>
      <c r="F93" s="284" t="s">
        <v>343</v>
      </c>
      <c r="G93" s="681"/>
      <c r="H93" s="100"/>
      <c r="I93" s="100"/>
      <c r="J93" s="100"/>
      <c r="K93" s="100"/>
      <c r="L93" s="100"/>
      <c r="M93" s="2"/>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row>
    <row r="94" spans="1:50" ht="16" customHeight="1" x14ac:dyDescent="0.2">
      <c r="A94" s="6"/>
      <c r="C94" s="277">
        <f t="shared" ref="C94:D98" si="2">G10</f>
        <v>2017</v>
      </c>
      <c r="D94" s="278">
        <f t="shared" si="2"/>
        <v>1128805</v>
      </c>
      <c r="E94" s="263">
        <f>G48</f>
        <v>1.2013368119382888</v>
      </c>
      <c r="F94" s="263">
        <f>$I$83</f>
        <v>1.0569873660872433</v>
      </c>
      <c r="G94" s="290">
        <f>D94*E94*F94</f>
        <v>1433354.1424667584</v>
      </c>
      <c r="H94" s="100"/>
      <c r="I94" s="100"/>
      <c r="J94" s="100"/>
      <c r="K94" s="100"/>
      <c r="L94" s="100"/>
      <c r="M94" s="2"/>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row>
    <row r="95" spans="1:50" ht="16" customHeight="1" x14ac:dyDescent="0.2">
      <c r="A95" s="6"/>
      <c r="C95" s="279">
        <f t="shared" si="2"/>
        <v>2018</v>
      </c>
      <c r="D95" s="278">
        <f t="shared" si="2"/>
        <v>1182755</v>
      </c>
      <c r="E95" s="263">
        <f t="shared" ref="E95:E98" si="3">G49</f>
        <v>1.141973612455665</v>
      </c>
      <c r="F95" s="263">
        <f>$I$83</f>
        <v>1.0569873660872433</v>
      </c>
      <c r="G95" s="290">
        <f t="shared" ref="G95:G98" si="4">D95*E95*F95</f>
        <v>1427646.4106898874</v>
      </c>
      <c r="H95" s="100"/>
      <c r="I95" s="100"/>
      <c r="J95" s="100"/>
      <c r="K95" s="100"/>
      <c r="L95" s="100"/>
      <c r="M95" s="2"/>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row>
    <row r="96" spans="1:50" ht="16" customHeight="1" x14ac:dyDescent="0.2">
      <c r="A96" s="6"/>
      <c r="C96" s="279">
        <f t="shared" si="2"/>
        <v>2019</v>
      </c>
      <c r="D96" s="278">
        <f t="shared" si="2"/>
        <v>1237389</v>
      </c>
      <c r="E96" s="263">
        <f t="shared" si="3"/>
        <v>1.116100110797817</v>
      </c>
      <c r="F96" s="263">
        <f>$I$83</f>
        <v>1.0569873660872433</v>
      </c>
      <c r="G96" s="290">
        <f t="shared" si="4"/>
        <v>1459752.4019347874</v>
      </c>
      <c r="H96" s="100"/>
      <c r="I96" s="100"/>
      <c r="J96" s="100"/>
      <c r="K96" s="100"/>
      <c r="L96" s="100"/>
      <c r="M96" s="2"/>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row>
    <row r="97" spans="1:65" ht="16" customHeight="1" x14ac:dyDescent="0.2">
      <c r="A97" s="6"/>
      <c r="C97" s="279">
        <f t="shared" si="2"/>
        <v>2020</v>
      </c>
      <c r="D97" s="278">
        <f t="shared" si="2"/>
        <v>1298903</v>
      </c>
      <c r="E97" s="263">
        <f t="shared" si="3"/>
        <v>1.0741564227659801</v>
      </c>
      <c r="F97" s="263">
        <f>$I$83</f>
        <v>1.0569873660872433</v>
      </c>
      <c r="G97" s="290">
        <f t="shared" si="4"/>
        <v>1474735.1978490739</v>
      </c>
      <c r="H97" s="100"/>
      <c r="I97" s="100"/>
      <c r="J97" s="100"/>
      <c r="K97" s="100"/>
      <c r="L97" s="100"/>
      <c r="M97" s="2"/>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row>
    <row r="98" spans="1:65" ht="16" customHeight="1" thickBot="1" x14ac:dyDescent="0.25">
      <c r="A98" s="6"/>
      <c r="C98" s="279">
        <f t="shared" si="2"/>
        <v>2021</v>
      </c>
      <c r="D98" s="278">
        <f t="shared" si="2"/>
        <v>1398917</v>
      </c>
      <c r="E98" s="263">
        <f t="shared" si="3"/>
        <v>1.0277593309681703</v>
      </c>
      <c r="F98" s="263">
        <f>$I$83</f>
        <v>1.0569873660872433</v>
      </c>
      <c r="G98" s="291">
        <f t="shared" si="4"/>
        <v>1519683.5855919339</v>
      </c>
      <c r="H98" s="100"/>
      <c r="I98" s="100"/>
      <c r="J98" s="100"/>
      <c r="K98" s="100"/>
      <c r="L98" s="100"/>
      <c r="M98" s="2"/>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row>
    <row r="99" spans="1:65" x14ac:dyDescent="0.2">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row>
    <row r="100" spans="1:65" ht="19" x14ac:dyDescent="0.25">
      <c r="A100" s="4" t="s">
        <v>3</v>
      </c>
      <c r="B100" s="100"/>
      <c r="C100" s="100"/>
      <c r="D100" s="100"/>
      <c r="E100" s="100"/>
      <c r="F100" s="100"/>
      <c r="G100" s="100"/>
      <c r="H100" s="100"/>
      <c r="I100" s="100"/>
      <c r="J100" s="100"/>
      <c r="K100" s="100"/>
      <c r="L100" s="2"/>
      <c r="M100" s="2"/>
      <c r="N100" s="2"/>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row>
    <row r="101" spans="1:65" ht="16" customHeight="1" x14ac:dyDescent="0.2">
      <c r="A101" s="2"/>
      <c r="B101" s="690" t="s">
        <v>350</v>
      </c>
      <c r="C101" s="690"/>
      <c r="D101" s="690"/>
      <c r="E101" s="690"/>
      <c r="F101" s="690"/>
      <c r="G101" s="690"/>
      <c r="H101" s="690"/>
      <c r="I101" s="690"/>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x14ac:dyDescent="0.2">
      <c r="A102" s="2"/>
      <c r="B102" s="690"/>
      <c r="C102" s="690"/>
      <c r="D102" s="690"/>
      <c r="E102" s="690"/>
      <c r="F102" s="690"/>
      <c r="G102" s="690"/>
      <c r="H102" s="690"/>
      <c r="I102" s="690"/>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x14ac:dyDescent="0.2">
      <c r="A103" s="2"/>
      <c r="B103" s="690"/>
      <c r="C103" s="690"/>
      <c r="D103" s="690"/>
      <c r="E103" s="690"/>
      <c r="F103" s="690"/>
      <c r="G103" s="690"/>
      <c r="H103" s="690"/>
      <c r="I103" s="690"/>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x14ac:dyDescent="0.2">
      <c r="A104" s="2"/>
      <c r="B104" s="690"/>
      <c r="C104" s="690"/>
      <c r="D104" s="690"/>
      <c r="E104" s="690"/>
      <c r="F104" s="690"/>
      <c r="G104" s="690"/>
      <c r="H104" s="690"/>
      <c r="I104" s="690"/>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x14ac:dyDescent="0.2">
      <c r="A105" s="2"/>
      <c r="B105" s="690"/>
      <c r="C105" s="690"/>
      <c r="D105" s="690"/>
      <c r="E105" s="690"/>
      <c r="F105" s="690"/>
      <c r="G105" s="690"/>
      <c r="H105" s="690"/>
      <c r="I105" s="690"/>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x14ac:dyDescent="0.2">
      <c r="A106" s="2"/>
      <c r="B106" s="264"/>
      <c r="C106" s="264"/>
      <c r="D106" s="264"/>
      <c r="E106" s="264"/>
      <c r="F106" s="264"/>
      <c r="G106" s="264"/>
      <c r="H106" s="264"/>
      <c r="I106" s="264"/>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1:65" ht="19" x14ac:dyDescent="0.25">
      <c r="A107" s="2"/>
      <c r="B107" s="5" t="s">
        <v>351</v>
      </c>
      <c r="C107" s="264"/>
      <c r="D107" s="264"/>
      <c r="E107" s="264"/>
      <c r="F107" s="264"/>
      <c r="G107" s="264"/>
      <c r="H107" s="264"/>
      <c r="I107" s="264"/>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1:65" ht="16" customHeight="1" x14ac:dyDescent="0.2">
      <c r="A108" s="2"/>
      <c r="B108" s="697" t="s">
        <v>520</v>
      </c>
      <c r="C108" s="690"/>
      <c r="D108" s="690"/>
      <c r="E108" s="690"/>
      <c r="F108" s="690"/>
      <c r="G108" s="690"/>
      <c r="H108" s="690"/>
      <c r="I108" s="690"/>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1:65" x14ac:dyDescent="0.2">
      <c r="A109" s="2"/>
      <c r="B109" s="690"/>
      <c r="C109" s="690"/>
      <c r="D109" s="690"/>
      <c r="E109" s="690"/>
      <c r="F109" s="690"/>
      <c r="G109" s="690"/>
      <c r="H109" s="690"/>
      <c r="I109" s="690"/>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1:65" x14ac:dyDescent="0.2">
      <c r="A110" s="2"/>
      <c r="B110" s="690"/>
      <c r="C110" s="690"/>
      <c r="D110" s="690"/>
      <c r="E110" s="690"/>
      <c r="F110" s="690"/>
      <c r="G110" s="690"/>
      <c r="H110" s="690"/>
      <c r="I110" s="690"/>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65" x14ac:dyDescent="0.2">
      <c r="A111" s="2"/>
      <c r="B111" s="690"/>
      <c r="C111" s="690"/>
      <c r="D111" s="690"/>
      <c r="E111" s="690"/>
      <c r="F111" s="690"/>
      <c r="G111" s="690"/>
      <c r="H111" s="690"/>
      <c r="I111" s="690"/>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1:65" x14ac:dyDescent="0.2">
      <c r="A112" s="2"/>
      <c r="B112" s="690"/>
      <c r="C112" s="690"/>
      <c r="D112" s="690"/>
      <c r="E112" s="690"/>
      <c r="F112" s="690"/>
      <c r="G112" s="690"/>
      <c r="H112" s="690"/>
      <c r="I112" s="690"/>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1:65" x14ac:dyDescent="0.2">
      <c r="A113" s="2"/>
      <c r="B113" s="690"/>
      <c r="C113" s="690"/>
      <c r="D113" s="690"/>
      <c r="E113" s="690"/>
      <c r="F113" s="690"/>
      <c r="G113" s="690"/>
      <c r="H113" s="690"/>
      <c r="I113" s="690"/>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1:65" x14ac:dyDescent="0.2">
      <c r="A114" s="2"/>
      <c r="B114" s="287"/>
      <c r="C114" s="287"/>
      <c r="D114" s="287"/>
      <c r="E114" s="287"/>
      <c r="F114" s="287"/>
      <c r="G114" s="287"/>
      <c r="H114" s="287"/>
      <c r="I114" s="287"/>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1:65" x14ac:dyDescent="0.2">
      <c r="A115" s="2"/>
      <c r="B115" s="293" t="s">
        <v>357</v>
      </c>
      <c r="C115" s="97"/>
      <c r="D115" s="97"/>
      <c r="E115" s="97"/>
      <c r="F115" s="294">
        <v>44287</v>
      </c>
      <c r="G115" s="292" t="s">
        <v>356</v>
      </c>
      <c r="H115" s="97"/>
      <c r="I115" s="97"/>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65" x14ac:dyDescent="0.2">
      <c r="A116" s="2"/>
      <c r="B116" s="292" t="s">
        <v>358</v>
      </c>
      <c r="C116" s="97"/>
      <c r="D116" s="97"/>
      <c r="E116" s="97"/>
      <c r="F116" s="294">
        <v>44515</v>
      </c>
      <c r="G116" s="97"/>
      <c r="H116" s="97"/>
      <c r="I116" s="97"/>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1:65" x14ac:dyDescent="0.2">
      <c r="A117" s="2"/>
      <c r="B117" s="292" t="s">
        <v>359</v>
      </c>
      <c r="C117" s="97"/>
      <c r="D117" s="97"/>
      <c r="E117" s="97"/>
      <c r="F117" s="295">
        <f>7.5/12</f>
        <v>0.625</v>
      </c>
      <c r="G117" s="292" t="s">
        <v>360</v>
      </c>
      <c r="H117" s="97"/>
      <c r="I117" s="97"/>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1:65" ht="17" thickBot="1" x14ac:dyDescent="0.25">
      <c r="A118" s="2"/>
      <c r="C118" s="97"/>
      <c r="D118" s="97"/>
      <c r="E118" s="97"/>
      <c r="F118" s="294"/>
      <c r="G118" s="97"/>
      <c r="H118" s="97"/>
      <c r="I118" s="97"/>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1:65" ht="17" thickBot="1" x14ac:dyDescent="0.25">
      <c r="A119" s="2"/>
      <c r="C119" s="692" t="s">
        <v>361</v>
      </c>
      <c r="D119" s="693"/>
      <c r="E119" s="693"/>
      <c r="F119" s="296">
        <f>1.04^0.625</f>
        <v>1.0248158580012936</v>
      </c>
      <c r="G119" s="297"/>
      <c r="H119" s="97"/>
      <c r="I119" s="97"/>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1:65" x14ac:dyDescent="0.2">
      <c r="A120" s="2"/>
      <c r="B120" s="292"/>
      <c r="C120" s="97"/>
      <c r="D120" s="97"/>
      <c r="E120" s="97"/>
      <c r="F120" s="294"/>
      <c r="G120" s="97"/>
      <c r="H120" s="97"/>
      <c r="I120" s="97"/>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1:65" x14ac:dyDescent="0.2">
      <c r="A121" s="2"/>
      <c r="B121" s="478" t="s">
        <v>362</v>
      </c>
      <c r="C121" s="97"/>
      <c r="D121" s="97"/>
      <c r="E121" s="97"/>
      <c r="F121" s="294"/>
      <c r="G121" s="97"/>
      <c r="H121" s="97"/>
      <c r="I121" s="97"/>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1:65" x14ac:dyDescent="0.2">
      <c r="A122" s="2"/>
      <c r="B122" s="292"/>
      <c r="C122" s="97"/>
      <c r="D122" s="97"/>
      <c r="E122" s="97"/>
      <c r="F122" s="294"/>
      <c r="G122" s="97"/>
      <c r="H122" s="97"/>
      <c r="I122" s="97"/>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1:65" ht="19" x14ac:dyDescent="0.25">
      <c r="A123" s="4" t="s">
        <v>1</v>
      </c>
      <c r="B123" s="100"/>
      <c r="C123" s="100"/>
      <c r="D123" s="100"/>
      <c r="E123" s="100"/>
      <c r="F123" s="100"/>
      <c r="G123" s="100"/>
      <c r="H123" s="100"/>
      <c r="I123" s="100"/>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1:65" x14ac:dyDescent="0.2">
      <c r="A124" s="2"/>
      <c r="B124" s="476" t="s">
        <v>519</v>
      </c>
      <c r="C124" s="100"/>
      <c r="D124" s="100"/>
      <c r="E124" s="100"/>
      <c r="F124" s="100"/>
      <c r="G124" s="100"/>
      <c r="H124" s="100"/>
      <c r="I124" s="100"/>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1:65" x14ac:dyDescent="0.2">
      <c r="A125" s="2"/>
      <c r="B125" s="100"/>
      <c r="C125" s="100"/>
      <c r="D125" s="100"/>
      <c r="E125" s="100"/>
      <c r="F125" s="100"/>
      <c r="G125" s="100"/>
      <c r="H125" s="100"/>
      <c r="I125" s="100"/>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1:65" ht="19" x14ac:dyDescent="0.25">
      <c r="A126" s="4" t="s">
        <v>0</v>
      </c>
      <c r="B126" s="100"/>
      <c r="C126" s="100"/>
      <c r="D126" s="100"/>
      <c r="E126" s="100"/>
      <c r="F126" s="100"/>
      <c r="G126" s="100"/>
      <c r="H126" s="100"/>
      <c r="I126" s="100"/>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1:65" ht="16" customHeight="1" x14ac:dyDescent="0.25">
      <c r="A127" s="4"/>
      <c r="B127" t="s">
        <v>522</v>
      </c>
      <c r="C127" s="100"/>
      <c r="D127" s="623" t="s">
        <v>596</v>
      </c>
      <c r="E127" s="100"/>
      <c r="F127" s="100"/>
      <c r="G127" s="100"/>
      <c r="H127" s="100"/>
      <c r="I127" s="100"/>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1:65" x14ac:dyDescent="0.2">
      <c r="A128" s="2"/>
      <c r="B128" t="s">
        <v>642</v>
      </c>
      <c r="C128" s="100"/>
      <c r="D128" s="100"/>
      <c r="E128" s="100"/>
      <c r="F128" s="100"/>
      <c r="G128" s="100"/>
      <c r="H128" s="100"/>
      <c r="I128" s="100"/>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1:65" x14ac:dyDescent="0.2">
      <c r="A129" s="2"/>
      <c r="B129"/>
      <c r="C129" s="100"/>
      <c r="D129" s="100"/>
      <c r="E129" s="100"/>
      <c r="F129" s="100"/>
      <c r="G129" s="100"/>
      <c r="H129" s="100"/>
      <c r="I129" s="100"/>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1:65" x14ac:dyDescent="0.2">
      <c r="A130" s="2"/>
      <c r="B130" s="100"/>
      <c r="C130" s="100"/>
      <c r="D130" s="100"/>
      <c r="E130" s="100"/>
      <c r="F130" s="100"/>
      <c r="G130" s="100"/>
      <c r="H130" s="100"/>
      <c r="I130" s="100"/>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1:65" x14ac:dyDescent="0.2">
      <c r="A131" s="2"/>
      <c r="B131" s="100"/>
      <c r="C131" s="100"/>
      <c r="D131" s="100"/>
      <c r="E131" s="100"/>
      <c r="F131" s="100"/>
      <c r="G131" s="100"/>
      <c r="H131" s="100"/>
      <c r="I131" s="100"/>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1:65" x14ac:dyDescent="0.2">
      <c r="A132" s="2"/>
      <c r="B132" s="100"/>
      <c r="C132" s="100"/>
      <c r="D132" s="100"/>
      <c r="E132" s="100"/>
      <c r="F132" s="100"/>
      <c r="G132" s="100"/>
      <c r="H132" s="100"/>
      <c r="I132" s="100"/>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1:65" x14ac:dyDescent="0.2">
      <c r="A133" s="2"/>
      <c r="B133" s="100"/>
      <c r="C133" s="100"/>
      <c r="D133" s="100"/>
      <c r="E133" s="100"/>
      <c r="F133" s="100"/>
      <c r="G133" s="100"/>
      <c r="H133" s="100"/>
      <c r="I133" s="100"/>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1:65" x14ac:dyDescent="0.2">
      <c r="A134" s="2"/>
      <c r="B134" s="100"/>
      <c r="C134" s="100"/>
      <c r="D134" s="100"/>
      <c r="E134" s="100"/>
      <c r="F134" s="100"/>
      <c r="G134" s="100"/>
      <c r="H134" s="100"/>
      <c r="I134" s="100"/>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sheetData>
  <mergeCells count="15">
    <mergeCell ref="C119:E119"/>
    <mergeCell ref="B4:I5"/>
    <mergeCell ref="D7:D9"/>
    <mergeCell ref="H7:H9"/>
    <mergeCell ref="B27:I28"/>
    <mergeCell ref="B38:I40"/>
    <mergeCell ref="B32:I33"/>
    <mergeCell ref="B108:I113"/>
    <mergeCell ref="B19:I21"/>
    <mergeCell ref="I7:I9"/>
    <mergeCell ref="B54:I56"/>
    <mergeCell ref="G91:G93"/>
    <mergeCell ref="B101:I105"/>
    <mergeCell ref="B78:I79"/>
    <mergeCell ref="B85:I87"/>
  </mergeCells>
  <pageMargins left="0.7" right="0.7" top="0.75" bottom="0.75" header="0.3" footer="0.3"/>
  <pageSetup orientation="portrait"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7FAC-4B00-9F4A-A3C2-D2F2B9DDB8B6}">
  <sheetPr codeName="Sheet10"/>
  <dimension ref="A1:BM163"/>
  <sheetViews>
    <sheetView showGridLines="0" zoomScale="120" zoomScaleNormal="120" workbookViewId="0"/>
  </sheetViews>
  <sheetFormatPr baseColWidth="10" defaultColWidth="10.83203125" defaultRowHeight="16" x14ac:dyDescent="0.2"/>
  <cols>
    <col min="1" max="1" width="10.83203125" style="1"/>
    <col min="2" max="3" width="10.83203125" style="1" customWidth="1"/>
    <col min="4" max="5" width="10.83203125" style="1"/>
    <col min="6" max="6" width="10.83203125" style="1" customWidth="1"/>
    <col min="7" max="7" width="11.1640625" style="1" customWidth="1"/>
    <col min="8" max="9" width="10.83203125" style="1"/>
    <col min="10" max="10" width="10.83203125" style="1" customWidth="1"/>
    <col min="11" max="16384" width="10.83203125" style="1"/>
  </cols>
  <sheetData>
    <row r="1" spans="1:49" ht="19" x14ac:dyDescent="0.25">
      <c r="A1" s="29" t="s">
        <v>567</v>
      </c>
      <c r="B1" s="98"/>
      <c r="C1" s="98"/>
      <c r="D1" s="98"/>
      <c r="E1" s="98"/>
      <c r="F1" s="98"/>
      <c r="G1" s="98"/>
      <c r="H1" s="98"/>
      <c r="I1" s="98"/>
      <c r="J1" s="99"/>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49" x14ac:dyDescent="0.2">
      <c r="A2" s="101"/>
      <c r="B2" s="98"/>
      <c r="C2" s="98"/>
      <c r="D2" s="98"/>
      <c r="E2" s="98"/>
      <c r="F2" s="98"/>
      <c r="G2" s="98"/>
      <c r="H2" s="98"/>
      <c r="I2" s="98"/>
      <c r="J2" s="99"/>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x14ac:dyDescent="0.2">
      <c r="A3" s="102"/>
      <c r="B3" s="28" t="s">
        <v>11</v>
      </c>
      <c r="C3" s="98"/>
      <c r="D3" s="98"/>
      <c r="E3" s="98"/>
      <c r="F3" s="98"/>
      <c r="G3" s="98"/>
      <c r="H3" s="98"/>
      <c r="I3" s="98"/>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row>
    <row r="4" spans="1:49" ht="16" customHeight="1" x14ac:dyDescent="0.2">
      <c r="A4" s="102"/>
      <c r="B4" s="334" t="s">
        <v>394</v>
      </c>
      <c r="C4" s="103"/>
      <c r="D4" s="103"/>
      <c r="E4" s="103"/>
      <c r="F4" s="103"/>
      <c r="G4" s="103"/>
      <c r="H4" s="103"/>
      <c r="I4" s="103"/>
      <c r="J4" s="99"/>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row>
    <row r="5" spans="1:49" x14ac:dyDescent="0.2">
      <c r="A5" s="102"/>
      <c r="B5" s="98"/>
      <c r="C5" s="98"/>
      <c r="D5" s="98"/>
      <c r="E5" s="98"/>
      <c r="F5" s="98"/>
      <c r="G5" s="98"/>
      <c r="H5" s="98"/>
      <c r="I5" s="98"/>
      <c r="J5" s="9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x14ac:dyDescent="0.2">
      <c r="A6" s="102"/>
      <c r="B6" s="316"/>
      <c r="C6" s="317" t="s">
        <v>69</v>
      </c>
      <c r="D6" s="318"/>
      <c r="E6" s="318"/>
      <c r="F6" s="319"/>
      <c r="G6" s="319"/>
      <c r="H6" s="317"/>
      <c r="I6" s="320"/>
      <c r="J6" s="99"/>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
      <c r="A7" s="102"/>
      <c r="B7" s="321"/>
      <c r="C7" s="322" t="s">
        <v>159</v>
      </c>
      <c r="D7" s="322" t="s">
        <v>364</v>
      </c>
      <c r="E7" s="322" t="s">
        <v>365</v>
      </c>
      <c r="F7" s="300" t="s">
        <v>366</v>
      </c>
      <c r="G7" s="300" t="s">
        <v>363</v>
      </c>
      <c r="H7" s="322" t="s">
        <v>368</v>
      </c>
      <c r="I7" s="300" t="s">
        <v>369</v>
      </c>
      <c r="J7" s="99"/>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ht="16" customHeight="1" x14ac:dyDescent="0.2">
      <c r="A8" s="102"/>
      <c r="B8" s="323" t="s">
        <v>363</v>
      </c>
      <c r="C8" s="298" t="s">
        <v>160</v>
      </c>
      <c r="D8" s="298" t="s">
        <v>160</v>
      </c>
      <c r="E8" s="298" t="s">
        <v>160</v>
      </c>
      <c r="F8" s="301" t="s">
        <v>160</v>
      </c>
      <c r="G8" s="301" t="s">
        <v>373</v>
      </c>
      <c r="H8" s="299" t="s">
        <v>367</v>
      </c>
      <c r="I8" s="301" t="s">
        <v>370</v>
      </c>
      <c r="J8" s="99"/>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49" x14ac:dyDescent="0.2">
      <c r="A9" s="102"/>
      <c r="B9" s="706">
        <v>1</v>
      </c>
      <c r="C9" s="324">
        <v>43573</v>
      </c>
      <c r="D9" s="324">
        <v>43883</v>
      </c>
      <c r="E9" s="324">
        <v>44596</v>
      </c>
      <c r="F9" s="305">
        <f>E9</f>
        <v>44596</v>
      </c>
      <c r="G9" s="310" t="s">
        <v>374</v>
      </c>
      <c r="H9" s="325">
        <v>0</v>
      </c>
      <c r="I9" s="326">
        <v>10000</v>
      </c>
      <c r="J9" s="99"/>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x14ac:dyDescent="0.2">
      <c r="A10" s="102"/>
      <c r="B10" s="707"/>
      <c r="C10" s="324"/>
      <c r="D10" s="324"/>
      <c r="E10" s="104"/>
      <c r="F10" s="308">
        <v>44695</v>
      </c>
      <c r="G10" s="312" t="s">
        <v>375</v>
      </c>
      <c r="H10" s="325">
        <v>5000</v>
      </c>
      <c r="I10" s="326">
        <v>0</v>
      </c>
      <c r="J10" s="99"/>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row>
    <row r="11" spans="1:49" x14ac:dyDescent="0.2">
      <c r="A11" s="102"/>
      <c r="B11" s="707"/>
      <c r="C11" s="324"/>
      <c r="D11" s="324"/>
      <c r="E11" s="104"/>
      <c r="F11" s="308">
        <v>44775</v>
      </c>
      <c r="G11" s="312" t="s">
        <v>376</v>
      </c>
      <c r="H11" s="325">
        <v>0</v>
      </c>
      <c r="I11" s="326">
        <v>20000</v>
      </c>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x14ac:dyDescent="0.2">
      <c r="A12" s="102"/>
      <c r="B12" s="708"/>
      <c r="C12" s="306"/>
      <c r="D12" s="307"/>
      <c r="E12" s="303"/>
      <c r="F12" s="309">
        <v>44958</v>
      </c>
      <c r="G12" s="311" t="s">
        <v>375</v>
      </c>
      <c r="H12" s="304">
        <v>25000</v>
      </c>
      <c r="I12" s="327">
        <v>0</v>
      </c>
      <c r="J12" s="99"/>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row>
    <row r="13" spans="1:49" x14ac:dyDescent="0.2">
      <c r="A13" s="102"/>
      <c r="B13" s="706">
        <v>2</v>
      </c>
      <c r="C13" s="324">
        <v>43814</v>
      </c>
      <c r="D13" s="324">
        <v>43990</v>
      </c>
      <c r="E13" s="328">
        <v>43997</v>
      </c>
      <c r="F13" s="308">
        <f>E13</f>
        <v>43997</v>
      </c>
      <c r="G13" s="105" t="s">
        <v>374</v>
      </c>
      <c r="H13" s="325">
        <v>0</v>
      </c>
      <c r="I13" s="326">
        <v>3000</v>
      </c>
      <c r="J13" s="99"/>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4" spans="1:49" x14ac:dyDescent="0.2">
      <c r="A14" s="102"/>
      <c r="B14" s="707"/>
      <c r="C14" s="324"/>
      <c r="D14" s="324"/>
      <c r="E14" s="329"/>
      <c r="F14" s="308">
        <v>44040</v>
      </c>
      <c r="G14" s="105" t="s">
        <v>374</v>
      </c>
      <c r="H14" s="325">
        <v>2000</v>
      </c>
      <c r="I14" s="326">
        <v>12000</v>
      </c>
      <c r="J14" s="9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x14ac:dyDescent="0.2">
      <c r="A15" s="102"/>
      <c r="B15" s="707"/>
      <c r="C15" s="324"/>
      <c r="D15" s="324"/>
      <c r="E15" s="329"/>
      <c r="F15" s="308">
        <v>44077</v>
      </c>
      <c r="G15" s="105" t="s">
        <v>374</v>
      </c>
      <c r="H15" s="325">
        <v>8000</v>
      </c>
      <c r="I15" s="326">
        <v>4000</v>
      </c>
      <c r="J15" s="99"/>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row>
    <row r="16" spans="1:49" x14ac:dyDescent="0.2">
      <c r="A16" s="102"/>
      <c r="B16" s="708"/>
      <c r="C16" s="306"/>
      <c r="D16" s="307"/>
      <c r="E16" s="315"/>
      <c r="F16" s="309">
        <v>44208</v>
      </c>
      <c r="G16" s="311" t="s">
        <v>375</v>
      </c>
      <c r="H16" s="304">
        <v>3000</v>
      </c>
      <c r="I16" s="327">
        <v>0</v>
      </c>
      <c r="J16" s="99"/>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row>
    <row r="17" spans="1:49" x14ac:dyDescent="0.2">
      <c r="A17" s="102"/>
      <c r="B17" s="706">
        <v>3</v>
      </c>
      <c r="C17" s="324">
        <v>44017</v>
      </c>
      <c r="D17" s="324">
        <v>44159</v>
      </c>
      <c r="E17" s="324">
        <v>44173</v>
      </c>
      <c r="F17" s="308">
        <f>E17</f>
        <v>44173</v>
      </c>
      <c r="G17" s="105" t="s">
        <v>374</v>
      </c>
      <c r="H17" s="325">
        <v>0</v>
      </c>
      <c r="I17" s="326">
        <v>4000</v>
      </c>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row>
    <row r="18" spans="1:49" x14ac:dyDescent="0.2">
      <c r="A18" s="102"/>
      <c r="B18" s="707"/>
      <c r="C18" s="324"/>
      <c r="D18" s="324"/>
      <c r="E18" s="329"/>
      <c r="F18" s="308">
        <v>44635</v>
      </c>
      <c r="G18" s="105" t="s">
        <v>374</v>
      </c>
      <c r="H18" s="325">
        <v>0</v>
      </c>
      <c r="I18" s="326">
        <v>20000</v>
      </c>
      <c r="J18" s="99"/>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row>
    <row r="19" spans="1:49" x14ac:dyDescent="0.2">
      <c r="A19" s="102"/>
      <c r="B19" s="708"/>
      <c r="C19" s="306"/>
      <c r="D19" s="307"/>
      <c r="E19" s="303"/>
      <c r="F19" s="309">
        <v>45048</v>
      </c>
      <c r="G19" s="311" t="s">
        <v>375</v>
      </c>
      <c r="H19" s="304">
        <v>0</v>
      </c>
      <c r="I19" s="327">
        <v>0</v>
      </c>
      <c r="J19" s="99"/>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row>
    <row r="20" spans="1:49" x14ac:dyDescent="0.2">
      <c r="A20" s="102"/>
      <c r="B20" s="706">
        <v>4</v>
      </c>
      <c r="C20" s="324">
        <v>44184</v>
      </c>
      <c r="D20" s="324">
        <v>44328</v>
      </c>
      <c r="E20" s="324">
        <v>44345</v>
      </c>
      <c r="F20" s="308">
        <f>E20</f>
        <v>44345</v>
      </c>
      <c r="G20" s="105" t="s">
        <v>374</v>
      </c>
      <c r="H20" s="325">
        <v>0</v>
      </c>
      <c r="I20" s="326">
        <v>8000</v>
      </c>
      <c r="J20" s="99"/>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row>
    <row r="21" spans="1:49" x14ac:dyDescent="0.2">
      <c r="A21" s="102"/>
      <c r="B21" s="707"/>
      <c r="C21" s="104"/>
      <c r="D21" s="104"/>
      <c r="E21" s="98"/>
      <c r="F21" s="308">
        <v>44407</v>
      </c>
      <c r="G21" s="105" t="s">
        <v>374</v>
      </c>
      <c r="H21" s="325">
        <v>5000</v>
      </c>
      <c r="I21" s="326">
        <v>10000</v>
      </c>
      <c r="J21" s="99"/>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row>
    <row r="22" spans="1:49" x14ac:dyDescent="0.2">
      <c r="A22" s="102"/>
      <c r="B22" s="707"/>
      <c r="C22" s="106"/>
      <c r="D22" s="104"/>
      <c r="E22" s="104"/>
      <c r="F22" s="308">
        <v>44621</v>
      </c>
      <c r="G22" s="105" t="s">
        <v>374</v>
      </c>
      <c r="H22" s="325">
        <v>2000</v>
      </c>
      <c r="I22" s="326">
        <v>15000</v>
      </c>
      <c r="J22" s="99"/>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row>
    <row r="23" spans="1:49" x14ac:dyDescent="0.2">
      <c r="A23" s="102"/>
      <c r="B23" s="708"/>
      <c r="C23" s="330"/>
      <c r="D23" s="331"/>
      <c r="E23" s="303"/>
      <c r="F23" s="309">
        <v>44972</v>
      </c>
      <c r="G23" s="302" t="s">
        <v>374</v>
      </c>
      <c r="H23" s="304">
        <v>10000</v>
      </c>
      <c r="I23" s="327">
        <v>5000</v>
      </c>
      <c r="J23" s="99"/>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row>
    <row r="24" spans="1:49" x14ac:dyDescent="0.2">
      <c r="A24" s="102"/>
      <c r="B24" s="98"/>
      <c r="C24" s="104"/>
      <c r="D24" s="104"/>
      <c r="E24" s="104"/>
      <c r="F24" s="98"/>
      <c r="G24" s="98"/>
      <c r="H24" s="98"/>
      <c r="I24" s="98"/>
      <c r="J24" s="99"/>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row>
    <row r="25" spans="1:49" x14ac:dyDescent="0.2">
      <c r="A25" s="102"/>
      <c r="B25" s="72" t="s">
        <v>387</v>
      </c>
      <c r="C25" s="104"/>
      <c r="D25" s="104"/>
      <c r="E25" s="104"/>
      <c r="F25" s="98"/>
      <c r="G25" s="98"/>
      <c r="H25" s="98"/>
      <c r="I25" s="98"/>
      <c r="J25" s="99"/>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row>
    <row r="26" spans="1:49" x14ac:dyDescent="0.2">
      <c r="A26" s="102"/>
      <c r="B26" s="98"/>
      <c r="C26" s="104"/>
      <c r="D26" s="104"/>
      <c r="E26" s="104"/>
      <c r="F26" s="98"/>
      <c r="G26" s="98"/>
      <c r="H26" s="98"/>
      <c r="I26" s="98"/>
      <c r="J26" s="99"/>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row>
    <row r="27" spans="1:49" ht="16" customHeight="1" x14ac:dyDescent="0.2">
      <c r="A27" s="102" t="s">
        <v>80</v>
      </c>
      <c r="B27" s="72" t="s">
        <v>378</v>
      </c>
      <c r="C27" s="107"/>
      <c r="D27" s="107"/>
      <c r="E27" s="107"/>
      <c r="F27" s="107"/>
      <c r="G27" s="107"/>
      <c r="H27" s="107"/>
      <c r="I27" s="107"/>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row>
    <row r="28" spans="1:49" ht="16" customHeight="1" x14ac:dyDescent="0.2">
      <c r="A28" s="102"/>
      <c r="B28" s="72" t="s">
        <v>237</v>
      </c>
      <c r="C28" s="107"/>
      <c r="D28" s="107"/>
      <c r="E28" s="107"/>
      <c r="F28" s="107"/>
      <c r="G28" s="107"/>
      <c r="H28" s="107"/>
      <c r="I28" s="112"/>
      <c r="J28" s="99"/>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row>
    <row r="29" spans="1:49" ht="16" customHeight="1" x14ac:dyDescent="0.2">
      <c r="A29" s="102"/>
      <c r="B29" s="72" t="s">
        <v>389</v>
      </c>
      <c r="C29" s="107"/>
      <c r="D29" s="107"/>
      <c r="E29" s="107"/>
      <c r="F29" s="107"/>
      <c r="G29" s="107"/>
      <c r="H29" s="107"/>
      <c r="I29" s="112"/>
      <c r="J29" s="99"/>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row>
    <row r="30" spans="1:49" ht="16" customHeight="1" x14ac:dyDescent="0.2">
      <c r="A30" s="102"/>
      <c r="B30" s="72" t="s">
        <v>371</v>
      </c>
      <c r="C30" s="107"/>
      <c r="D30" s="107"/>
      <c r="E30" s="107"/>
      <c r="F30" s="107"/>
      <c r="G30" s="107"/>
      <c r="H30" s="107"/>
      <c r="I30" s="112"/>
      <c r="J30" s="99"/>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row>
    <row r="31" spans="1:49" ht="16" customHeight="1" x14ac:dyDescent="0.2">
      <c r="A31" s="102"/>
      <c r="B31" s="72" t="s">
        <v>372</v>
      </c>
      <c r="C31" s="107"/>
      <c r="D31" s="107"/>
      <c r="E31" s="107"/>
      <c r="F31" s="107"/>
      <c r="G31" s="107"/>
      <c r="H31" s="107"/>
      <c r="I31" s="112"/>
      <c r="J31" s="99"/>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row>
    <row r="32" spans="1:49" ht="16" customHeight="1" x14ac:dyDescent="0.2">
      <c r="A32" s="102"/>
      <c r="B32" s="72"/>
      <c r="C32" s="107"/>
      <c r="D32" s="107"/>
      <c r="E32" s="107"/>
      <c r="F32" s="107"/>
      <c r="G32" s="107"/>
      <c r="H32" s="107"/>
      <c r="I32" s="107"/>
      <c r="J32" s="99"/>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row>
    <row r="33" spans="1:49" ht="16" customHeight="1" x14ac:dyDescent="0.2">
      <c r="A33" s="102" t="s">
        <v>81</v>
      </c>
      <c r="B33" s="688" t="s">
        <v>395</v>
      </c>
      <c r="C33" s="688"/>
      <c r="D33" s="688"/>
      <c r="E33" s="688"/>
      <c r="F33" s="688"/>
      <c r="G33" s="688"/>
      <c r="H33" s="688"/>
      <c r="I33" s="688"/>
      <c r="J33" s="99"/>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row>
    <row r="34" spans="1:49" ht="16" customHeight="1" x14ac:dyDescent="0.2">
      <c r="A34" s="102"/>
      <c r="B34" s="688"/>
      <c r="C34" s="688"/>
      <c r="D34" s="688"/>
      <c r="E34" s="688"/>
      <c r="F34" s="688"/>
      <c r="G34" s="688"/>
      <c r="H34" s="688"/>
      <c r="I34" s="688"/>
      <c r="J34" s="99"/>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row>
    <row r="35" spans="1:49" ht="17" thickBot="1" x14ac:dyDescent="0.25">
      <c r="A35" s="108"/>
      <c r="B35" s="109"/>
      <c r="C35" s="110"/>
      <c r="D35" s="110"/>
      <c r="E35" s="110"/>
      <c r="F35" s="109"/>
      <c r="G35" s="109"/>
      <c r="H35" s="109"/>
      <c r="I35" s="109"/>
      <c r="J35" s="111"/>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row>
    <row r="36" spans="1:49" x14ac:dyDescent="0.2">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row>
    <row r="37" spans="1:49" ht="19" x14ac:dyDescent="0.25">
      <c r="A37" s="4" t="s">
        <v>9</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row>
    <row r="38" spans="1:49" ht="16" customHeight="1" x14ac:dyDescent="0.2">
      <c r="A38" s="8" t="s">
        <v>377</v>
      </c>
      <c r="B38" s="7"/>
      <c r="C38" s="7"/>
      <c r="D38" s="7"/>
      <c r="E38" s="7"/>
      <c r="F38" s="7"/>
      <c r="G38" s="7"/>
      <c r="H38" s="7"/>
      <c r="I38" s="7"/>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row>
    <row r="39" spans="1:49" ht="16" customHeight="1" x14ac:dyDescent="0.2">
      <c r="A39" s="6" t="s">
        <v>8</v>
      </c>
      <c r="B39" s="632" t="s">
        <v>379</v>
      </c>
      <c r="C39" s="632"/>
      <c r="D39" s="632"/>
      <c r="E39" s="632"/>
      <c r="F39" s="632"/>
      <c r="G39" s="632"/>
      <c r="H39" s="632"/>
      <c r="I39" s="632"/>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row>
    <row r="40" spans="1:49" ht="16" customHeight="1" x14ac:dyDescent="0.2">
      <c r="A40" s="6"/>
      <c r="B40" s="632"/>
      <c r="C40" s="632"/>
      <c r="D40" s="632"/>
      <c r="E40" s="632"/>
      <c r="F40" s="632"/>
      <c r="G40" s="632"/>
      <c r="H40" s="632"/>
      <c r="I40" s="632"/>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row>
    <row r="41" spans="1:49" ht="16" customHeight="1" x14ac:dyDescent="0.2">
      <c r="A41" s="6"/>
      <c r="B41" s="632"/>
      <c r="C41" s="632"/>
      <c r="D41" s="632"/>
      <c r="E41" s="632"/>
      <c r="F41" s="632"/>
      <c r="G41" s="632"/>
      <c r="H41" s="632"/>
      <c r="I41" s="632"/>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row>
    <row r="42" spans="1:49" ht="16" customHeight="1" x14ac:dyDescent="0.2">
      <c r="A42" s="6"/>
      <c r="B42" s="54"/>
      <c r="C42" s="54"/>
      <c r="D42" s="54"/>
      <c r="E42" s="54"/>
      <c r="F42" s="54"/>
      <c r="G42" s="54"/>
      <c r="H42" s="54"/>
      <c r="I42" s="54"/>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row>
    <row r="43" spans="1:49" ht="16" customHeight="1" x14ac:dyDescent="0.2">
      <c r="A43" s="6"/>
      <c r="B43" s="341" t="s">
        <v>400</v>
      </c>
      <c r="C43" s="54"/>
      <c r="D43" s="54"/>
      <c r="E43" s="54"/>
      <c r="F43" s="54"/>
      <c r="G43" s="54"/>
      <c r="H43" s="54"/>
      <c r="I43" s="54"/>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row>
    <row r="44" spans="1:49" ht="16" customHeight="1" thickBot="1" x14ac:dyDescent="0.25">
      <c r="A44" s="6"/>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row>
    <row r="45" spans="1:49" ht="16" customHeight="1" thickBot="1" x14ac:dyDescent="0.25">
      <c r="A45" s="6"/>
      <c r="B45" s="100"/>
      <c r="C45" s="100"/>
      <c r="D45" s="100"/>
      <c r="E45" s="100"/>
      <c r="F45" s="100"/>
      <c r="G45" s="333" t="s">
        <v>383</v>
      </c>
      <c r="H45" s="215"/>
      <c r="I45" s="342">
        <f>SUM(H13:H15)+I15+H17+I17</f>
        <v>18000</v>
      </c>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row>
    <row r="46" spans="1:49" ht="16" customHeight="1" x14ac:dyDescent="0.2">
      <c r="A46" s="6"/>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row>
    <row r="47" spans="1:49" ht="16" customHeight="1" x14ac:dyDescent="0.2">
      <c r="A47" s="6"/>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row>
    <row r="48" spans="1:49" ht="16" customHeight="1" x14ac:dyDescent="0.2">
      <c r="A48" s="6"/>
      <c r="B48" s="100"/>
      <c r="C48" s="100"/>
      <c r="D48" s="100"/>
      <c r="E48" s="100"/>
      <c r="F48" s="100"/>
      <c r="G48" s="7"/>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row>
    <row r="49" spans="1:49" ht="16" customHeight="1" x14ac:dyDescent="0.2">
      <c r="A49" s="6"/>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row>
    <row r="50" spans="1:49" ht="16" customHeight="1" x14ac:dyDescent="0.2">
      <c r="A50" s="6"/>
      <c r="B50" s="100"/>
      <c r="C50" s="100"/>
      <c r="D50" s="100"/>
      <c r="E50" s="100"/>
      <c r="F50" s="100"/>
      <c r="G50" s="100"/>
      <c r="H50" s="100"/>
      <c r="I50" s="100"/>
      <c r="J50" s="100"/>
      <c r="K50" s="100"/>
      <c r="L50" s="2"/>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ht="16" customHeight="1" x14ac:dyDescent="0.2">
      <c r="A51" s="6"/>
      <c r="B51" s="632" t="s">
        <v>385</v>
      </c>
      <c r="C51" s="632"/>
      <c r="D51" s="632"/>
      <c r="E51" s="632"/>
      <c r="F51" s="632"/>
      <c r="G51" s="632"/>
      <c r="H51" s="632"/>
      <c r="I51" s="632"/>
      <c r="J51" s="100"/>
      <c r="K51" s="100"/>
      <c r="L51" s="2"/>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ht="16" customHeight="1" x14ac:dyDescent="0.2">
      <c r="A52" s="6"/>
      <c r="B52" s="632"/>
      <c r="C52" s="632"/>
      <c r="D52" s="632"/>
      <c r="E52" s="632"/>
      <c r="F52" s="632"/>
      <c r="G52" s="632"/>
      <c r="H52" s="632"/>
      <c r="I52" s="632"/>
      <c r="J52" s="100"/>
      <c r="K52" s="100"/>
      <c r="L52" s="2"/>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ht="16" customHeight="1" x14ac:dyDescent="0.2">
      <c r="A53" s="6"/>
      <c r="B53" s="54"/>
      <c r="C53" s="54"/>
      <c r="D53" s="54"/>
      <c r="E53" s="54"/>
      <c r="F53" s="54"/>
      <c r="G53" s="54"/>
      <c r="H53" s="54"/>
      <c r="I53" s="54"/>
      <c r="J53" s="100"/>
      <c r="K53" s="100"/>
      <c r="L53" s="2"/>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ht="16" customHeight="1" x14ac:dyDescent="0.2">
      <c r="A54" s="6" t="s">
        <v>7</v>
      </c>
      <c r="B54" s="632" t="s">
        <v>568</v>
      </c>
      <c r="C54" s="632"/>
      <c r="D54" s="632"/>
      <c r="E54" s="632"/>
      <c r="F54" s="632"/>
      <c r="G54" s="632"/>
      <c r="H54" s="632"/>
      <c r="I54" s="632"/>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row>
    <row r="55" spans="1:49" ht="16" customHeight="1" x14ac:dyDescent="0.2">
      <c r="A55" s="6"/>
      <c r="B55" s="632"/>
      <c r="C55" s="632"/>
      <c r="D55" s="632"/>
      <c r="E55" s="632"/>
      <c r="F55" s="632"/>
      <c r="G55" s="632"/>
      <c r="H55" s="632"/>
      <c r="I55" s="632"/>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row>
    <row r="56" spans="1:49" ht="16" customHeight="1" x14ac:dyDescent="0.2">
      <c r="A56" s="6"/>
      <c r="B56" s="632"/>
      <c r="C56" s="632"/>
      <c r="D56" s="632"/>
      <c r="E56" s="632"/>
      <c r="F56" s="632"/>
      <c r="G56" s="632"/>
      <c r="H56" s="632"/>
      <c r="I56" s="632"/>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row>
    <row r="57" spans="1:49" ht="16" customHeight="1" x14ac:dyDescent="0.2">
      <c r="A57" s="6"/>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row>
    <row r="58" spans="1:49" ht="16" customHeight="1" x14ac:dyDescent="0.2">
      <c r="A58" s="6"/>
      <c r="B58" s="613" t="s">
        <v>570</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row>
    <row r="59" spans="1:49" ht="16" customHeight="1" thickBot="1" x14ac:dyDescent="0.25">
      <c r="A59" s="6"/>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row>
    <row r="60" spans="1:49" ht="16" customHeight="1" thickBot="1" x14ac:dyDescent="0.25">
      <c r="A60" s="6"/>
      <c r="B60" s="100"/>
      <c r="C60" s="100"/>
      <c r="D60" s="100"/>
      <c r="E60" s="100"/>
      <c r="F60" s="100"/>
      <c r="G60" s="333" t="s">
        <v>384</v>
      </c>
      <c r="H60" s="215"/>
      <c r="I60" s="612">
        <f>SUM(H9:H11,H13:H16,H17:H18)+I11+I16+I18</f>
        <v>58000</v>
      </c>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ht="16" customHeight="1" x14ac:dyDescent="0.2">
      <c r="A61" s="6"/>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ht="16" customHeight="1" x14ac:dyDescent="0.2">
      <c r="A62" s="6"/>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row>
    <row r="63" spans="1:49" ht="16" customHeight="1" x14ac:dyDescent="0.2">
      <c r="A63" s="6"/>
      <c r="B63" s="100"/>
      <c r="C63" s="100"/>
      <c r="D63" s="100"/>
      <c r="E63" s="100"/>
      <c r="F63" s="100"/>
      <c r="G63" s="7"/>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ht="16" customHeight="1" x14ac:dyDescent="0.2">
      <c r="A64" s="6"/>
      <c r="B64" s="100"/>
      <c r="C64" s="100"/>
      <c r="D64" s="100"/>
      <c r="E64" s="100"/>
      <c r="F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ht="16" customHeight="1" x14ac:dyDescent="0.2">
      <c r="A65" s="6"/>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row>
    <row r="66" spans="1:49" ht="16" customHeight="1" x14ac:dyDescent="0.2">
      <c r="A66" s="6"/>
      <c r="B66" s="632" t="s">
        <v>613</v>
      </c>
      <c r="C66" s="632"/>
      <c r="D66" s="632"/>
      <c r="E66" s="632"/>
      <c r="F66" s="632"/>
      <c r="G66" s="632"/>
      <c r="H66" s="632"/>
      <c r="I66" s="632"/>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row>
    <row r="67" spans="1:49" ht="16" customHeight="1" x14ac:dyDescent="0.2">
      <c r="A67" s="6"/>
      <c r="B67" s="632"/>
      <c r="C67" s="632"/>
      <c r="D67" s="632"/>
      <c r="E67" s="632"/>
      <c r="F67" s="632"/>
      <c r="G67" s="632"/>
      <c r="H67" s="632"/>
      <c r="I67" s="632"/>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row>
    <row r="68" spans="1:49" ht="16" customHeight="1" x14ac:dyDescent="0.2">
      <c r="A68" s="6"/>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row>
    <row r="69" spans="1:49" ht="16" customHeight="1" x14ac:dyDescent="0.2">
      <c r="A69" s="6" t="s">
        <v>6</v>
      </c>
      <c r="B69" s="632" t="s">
        <v>569</v>
      </c>
      <c r="C69" s="632"/>
      <c r="D69" s="632"/>
      <c r="E69" s="632"/>
      <c r="F69" s="632"/>
      <c r="G69" s="632"/>
      <c r="H69" s="632"/>
      <c r="I69" s="632"/>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row>
    <row r="70" spans="1:49" ht="16" customHeight="1" x14ac:dyDescent="0.2">
      <c r="A70" s="6"/>
      <c r="B70" s="632"/>
      <c r="C70" s="632"/>
      <c r="D70" s="632"/>
      <c r="E70" s="632"/>
      <c r="F70" s="632"/>
      <c r="G70" s="632"/>
      <c r="H70" s="632"/>
      <c r="I70" s="632"/>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row>
    <row r="71" spans="1:49" ht="16" customHeight="1" x14ac:dyDescent="0.2">
      <c r="A71" s="6"/>
      <c r="B71" s="632"/>
      <c r="C71" s="632"/>
      <c r="D71" s="632"/>
      <c r="E71" s="632"/>
      <c r="F71" s="632"/>
      <c r="G71" s="632"/>
      <c r="H71" s="632"/>
      <c r="I71" s="632"/>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row>
    <row r="72" spans="1:49" ht="16" customHeight="1" x14ac:dyDescent="0.2">
      <c r="A72" s="6"/>
      <c r="B72" s="54"/>
      <c r="C72" s="54"/>
      <c r="D72" s="54"/>
      <c r="E72" s="54"/>
      <c r="F72" s="54"/>
      <c r="G72" s="54"/>
      <c r="H72" s="54"/>
      <c r="I72" s="54"/>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row>
    <row r="73" spans="1:49" ht="16" customHeight="1" x14ac:dyDescent="0.2">
      <c r="A73" s="6"/>
      <c r="B73" s="341" t="s">
        <v>401</v>
      </c>
      <c r="C73" s="54"/>
      <c r="D73" s="54"/>
      <c r="E73" s="54"/>
      <c r="F73" s="54"/>
      <c r="G73" s="54"/>
      <c r="H73" s="54"/>
      <c r="I73" s="54"/>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row>
    <row r="74" spans="1:49" ht="16" customHeight="1" thickBot="1" x14ac:dyDescent="0.25">
      <c r="A74" s="6"/>
      <c r="B74" s="100"/>
      <c r="C74" s="100"/>
      <c r="D74" s="100"/>
      <c r="E74" s="100"/>
      <c r="F74" s="100"/>
      <c r="G74" s="100"/>
      <c r="H74" s="100"/>
      <c r="I74" s="7"/>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row>
    <row r="75" spans="1:49" ht="16" customHeight="1" thickBot="1" x14ac:dyDescent="0.25">
      <c r="A75" s="6"/>
      <c r="B75" s="100"/>
      <c r="C75" s="100"/>
      <c r="D75" s="100"/>
      <c r="E75" s="100"/>
      <c r="F75" s="100"/>
      <c r="G75" s="333" t="s">
        <v>386</v>
      </c>
      <c r="H75" s="215"/>
      <c r="I75" s="612">
        <f>SUM(H17:H18,H20:H22)+SUM(I18,I22)</f>
        <v>42000</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row>
    <row r="76" spans="1:49" ht="16" customHeight="1" x14ac:dyDescent="0.2">
      <c r="A76" s="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row>
    <row r="77" spans="1:49" ht="16" customHeight="1" x14ac:dyDescent="0.2">
      <c r="A77" s="6"/>
      <c r="B77" s="7"/>
      <c r="C77" s="7"/>
      <c r="D77" s="7"/>
      <c r="E77" s="7"/>
      <c r="F77" s="7"/>
      <c r="G77" s="7"/>
      <c r="H77" s="7"/>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row>
    <row r="78" spans="1:49" ht="16" customHeight="1" x14ac:dyDescent="0.2">
      <c r="A78" s="6"/>
      <c r="B78" s="7"/>
      <c r="C78" s="7"/>
      <c r="D78" s="7"/>
      <c r="E78" s="7"/>
      <c r="F78" s="7"/>
      <c r="G78" s="7"/>
      <c r="H78" s="7"/>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row>
    <row r="79" spans="1:49" ht="16" customHeight="1" x14ac:dyDescent="0.2">
      <c r="A79" s="6"/>
      <c r="B79" s="7"/>
      <c r="C79" s="7"/>
      <c r="D79" s="7"/>
      <c r="E79" s="7"/>
      <c r="F79" s="7"/>
      <c r="G79" s="7"/>
      <c r="H79" s="7"/>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row>
    <row r="80" spans="1:49" ht="16" customHeight="1" x14ac:dyDescent="0.2">
      <c r="A80" s="6"/>
      <c r="B80" s="7"/>
      <c r="C80" s="7"/>
      <c r="D80" s="7"/>
      <c r="E80" s="7"/>
      <c r="F80" s="7"/>
      <c r="G80" s="7"/>
      <c r="H80" s="7"/>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row>
    <row r="81" spans="1:49" ht="16" customHeight="1" x14ac:dyDescent="0.2">
      <c r="A81" s="6"/>
      <c r="B81" s="7"/>
      <c r="C81" s="7"/>
      <c r="D81" s="7"/>
      <c r="E81" s="7"/>
      <c r="F81" s="7"/>
      <c r="G81" s="7"/>
      <c r="H81" s="7"/>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row>
    <row r="82" spans="1:49" ht="16" customHeight="1" x14ac:dyDescent="0.2">
      <c r="A82" s="6" t="s">
        <v>6</v>
      </c>
      <c r="B82" s="703" t="s">
        <v>380</v>
      </c>
      <c r="C82" s="703"/>
      <c r="D82" s="703"/>
      <c r="E82" s="703"/>
      <c r="F82" s="703"/>
      <c r="G82" s="703"/>
      <c r="H82" s="703"/>
      <c r="I82" s="703"/>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row>
    <row r="83" spans="1:49" ht="16" customHeight="1" x14ac:dyDescent="0.2">
      <c r="A83" s="6"/>
      <c r="B83" s="703"/>
      <c r="C83" s="703"/>
      <c r="D83" s="703"/>
      <c r="E83" s="703"/>
      <c r="F83" s="703"/>
      <c r="G83" s="703"/>
      <c r="H83" s="703"/>
      <c r="I83" s="703"/>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row>
    <row r="84" spans="1:49" ht="16" customHeight="1" x14ac:dyDescent="0.2">
      <c r="A84" s="6"/>
      <c r="B84" s="313"/>
      <c r="C84" s="313"/>
      <c r="D84" s="313"/>
      <c r="E84" s="313"/>
      <c r="F84" s="313"/>
      <c r="G84" s="313"/>
      <c r="H84" s="313"/>
      <c r="I84" s="313"/>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row>
    <row r="85" spans="1:49" ht="16" customHeight="1" x14ac:dyDescent="0.2">
      <c r="A85" s="6"/>
      <c r="B85" s="341" t="s">
        <v>402</v>
      </c>
      <c r="C85" s="313"/>
      <c r="D85" s="313"/>
      <c r="E85" s="313"/>
      <c r="F85" s="313"/>
      <c r="G85" s="313"/>
      <c r="H85" s="313"/>
      <c r="I85" s="313"/>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row>
    <row r="86" spans="1:49" ht="16" customHeight="1" thickBot="1" x14ac:dyDescent="0.25">
      <c r="A86" s="6"/>
      <c r="B86" s="100"/>
      <c r="C86" s="100"/>
      <c r="D86" s="100"/>
      <c r="E86" s="100"/>
      <c r="F86" s="100"/>
      <c r="G86" s="100"/>
      <c r="H86" s="100"/>
      <c r="I86" s="7"/>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row>
    <row r="87" spans="1:49" ht="16" customHeight="1" thickBot="1" x14ac:dyDescent="0.25">
      <c r="A87" s="6"/>
      <c r="B87" s="100"/>
      <c r="C87" s="100"/>
      <c r="D87" s="100"/>
      <c r="E87" s="100"/>
      <c r="F87" s="100"/>
      <c r="G87" s="333" t="s">
        <v>388</v>
      </c>
      <c r="H87" s="215"/>
      <c r="I87" s="612">
        <f>SUM(H13:H18)+SUM(I16,I18)</f>
        <v>33000</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row>
    <row r="88" spans="1:49" ht="16" customHeight="1" x14ac:dyDescent="0.2">
      <c r="A88" s="6"/>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row>
    <row r="89" spans="1:49" ht="16" customHeight="1" x14ac:dyDescent="0.2">
      <c r="A89" s="6"/>
      <c r="B89" s="7"/>
      <c r="C89" s="7"/>
      <c r="D89" s="7"/>
      <c r="E89" s="7"/>
      <c r="F89" s="7"/>
      <c r="G89" s="7"/>
      <c r="H89" s="7"/>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row>
    <row r="90" spans="1:49" ht="16" customHeight="1" x14ac:dyDescent="0.2">
      <c r="A90" s="6"/>
      <c r="B90" s="7"/>
      <c r="C90" s="7"/>
      <c r="D90" s="7"/>
      <c r="E90" s="7"/>
      <c r="F90" s="7"/>
      <c r="G90" s="7"/>
      <c r="H90" s="7"/>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row>
    <row r="91" spans="1:49" ht="16" customHeight="1" x14ac:dyDescent="0.2">
      <c r="A91" s="6"/>
      <c r="B91" s="7"/>
      <c r="C91" s="7"/>
      <c r="D91" s="7"/>
      <c r="E91" s="7"/>
      <c r="F91" s="7"/>
      <c r="G91" s="7"/>
      <c r="H91" s="7"/>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row>
    <row r="92" spans="1:49" ht="16" customHeight="1" x14ac:dyDescent="0.2">
      <c r="A92" s="6"/>
      <c r="B92" s="7"/>
      <c r="C92" s="7"/>
      <c r="D92" s="7"/>
      <c r="E92" s="7"/>
      <c r="F92" s="7"/>
      <c r="G92" s="7"/>
      <c r="H92" s="7"/>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row>
    <row r="93" spans="1:49" ht="16" customHeight="1" x14ac:dyDescent="0.2">
      <c r="A93" s="6"/>
      <c r="B93" s="7"/>
      <c r="C93" s="7"/>
      <c r="D93" s="7"/>
      <c r="E93" s="7"/>
      <c r="F93" s="7"/>
      <c r="G93" s="7"/>
      <c r="H93" s="7"/>
      <c r="I93" s="100"/>
      <c r="J93" s="100"/>
      <c r="K93" s="100"/>
      <c r="L93" s="2"/>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row>
    <row r="94" spans="1:49" ht="16" customHeight="1" x14ac:dyDescent="0.2">
      <c r="A94" s="6"/>
      <c r="C94" s="100"/>
      <c r="D94" s="100"/>
      <c r="E94"/>
      <c r="F94" s="100"/>
      <c r="G94" s="100"/>
      <c r="H94" s="100"/>
      <c r="I94" s="100"/>
      <c r="J94" s="100"/>
      <c r="K94" s="100"/>
      <c r="L94" s="2"/>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row>
    <row r="95" spans="1:49" ht="16" customHeight="1" x14ac:dyDescent="0.2">
      <c r="A95" s="8" t="s">
        <v>381</v>
      </c>
      <c r="C95" s="100"/>
      <c r="D95" s="100"/>
      <c r="E95"/>
      <c r="F95" s="100"/>
      <c r="G95" s="100"/>
      <c r="H95" s="100"/>
      <c r="I95" s="100"/>
      <c r="J95" s="100"/>
      <c r="K95" s="100"/>
      <c r="L95" s="2"/>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row>
    <row r="96" spans="1:49" ht="16" customHeight="1" x14ac:dyDescent="0.2">
      <c r="A96" s="6" t="s">
        <v>5</v>
      </c>
      <c r="B96" s="632" t="s">
        <v>382</v>
      </c>
      <c r="C96" s="632"/>
      <c r="D96" s="632"/>
      <c r="E96" s="632"/>
      <c r="F96" s="632"/>
      <c r="G96" s="632"/>
      <c r="H96" s="632"/>
      <c r="I96" s="632"/>
      <c r="J96" s="100"/>
      <c r="K96" s="100"/>
      <c r="L96" s="2"/>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row>
    <row r="97" spans="1:49" ht="16" customHeight="1" x14ac:dyDescent="0.2">
      <c r="A97" s="6"/>
      <c r="B97" s="632"/>
      <c r="C97" s="632"/>
      <c r="D97" s="632"/>
      <c r="E97" s="632"/>
      <c r="F97" s="632"/>
      <c r="G97" s="632"/>
      <c r="H97" s="632"/>
      <c r="I97" s="632"/>
      <c r="J97" s="100"/>
      <c r="K97" s="100"/>
      <c r="L97" s="2"/>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row>
    <row r="98" spans="1:49" ht="16" customHeight="1" x14ac:dyDescent="0.2">
      <c r="A98" s="6"/>
      <c r="B98" s="100"/>
      <c r="C98" s="100"/>
      <c r="D98" s="100"/>
      <c r="E98" s="100"/>
      <c r="F98" s="100"/>
      <c r="G98" s="100"/>
      <c r="H98" s="100"/>
      <c r="I98" s="100"/>
      <c r="J98" s="100"/>
      <c r="K98" s="100"/>
      <c r="L98" s="2"/>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row>
    <row r="99" spans="1:49" ht="16" customHeight="1" x14ac:dyDescent="0.2">
      <c r="A99" s="6"/>
      <c r="C99" s="335" t="s">
        <v>364</v>
      </c>
      <c r="D99" s="336"/>
      <c r="E99" s="337"/>
      <c r="F99" s="337"/>
      <c r="G99" s="48"/>
      <c r="H99" s="100"/>
      <c r="I99" s="100"/>
      <c r="J99" s="100"/>
      <c r="K99" s="100"/>
      <c r="L99" s="2"/>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row>
    <row r="100" spans="1:49" ht="16" customHeight="1" x14ac:dyDescent="0.2">
      <c r="A100" s="6"/>
      <c r="C100" s="338" t="s">
        <v>10</v>
      </c>
      <c r="D100" s="339" t="s">
        <v>390</v>
      </c>
      <c r="E100" s="339" t="s">
        <v>391</v>
      </c>
      <c r="F100" s="339" t="s">
        <v>392</v>
      </c>
      <c r="G100" s="339" t="s">
        <v>393</v>
      </c>
      <c r="H100" s="100"/>
      <c r="I100" s="100"/>
      <c r="J100" s="100"/>
      <c r="K100" s="100"/>
      <c r="L100" s="2"/>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row>
    <row r="101" spans="1:49" ht="16" customHeight="1" x14ac:dyDescent="0.2">
      <c r="A101" s="6"/>
      <c r="C101" s="279">
        <v>2019</v>
      </c>
      <c r="D101" s="278">
        <v>0</v>
      </c>
      <c r="E101" s="278">
        <v>0</v>
      </c>
      <c r="F101" s="278">
        <v>0</v>
      </c>
      <c r="G101" s="278">
        <v>0</v>
      </c>
      <c r="H101" s="100"/>
      <c r="I101" s="100"/>
      <c r="J101" s="100"/>
      <c r="K101" s="100"/>
      <c r="L101" s="2"/>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row>
    <row r="102" spans="1:49" ht="16" customHeight="1" x14ac:dyDescent="0.2">
      <c r="A102" s="6"/>
      <c r="C102" s="279">
        <v>2020</v>
      </c>
      <c r="D102" s="278">
        <f>SUM(H13:H15,I15)+SUM(H17,I17)</f>
        <v>18000</v>
      </c>
      <c r="E102" s="278">
        <f>SUM(H13:H16,I16)+SUM(H17,I17)</f>
        <v>17000</v>
      </c>
      <c r="F102" s="278">
        <f>SUM(H13:H16,I16)+SUM(H17:H18,I18)+SUM(H9:H11,I11)</f>
        <v>58000</v>
      </c>
      <c r="G102" s="278">
        <f>SUM(H13:H16,I16)+SUM(H17:H19,I19)+SUM(H9:H12,I12)</f>
        <v>43000</v>
      </c>
      <c r="H102" s="100"/>
      <c r="I102" s="100"/>
      <c r="J102" s="100"/>
      <c r="K102" s="100"/>
      <c r="L102" s="2"/>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row>
    <row r="103" spans="1:49" ht="16" customHeight="1" x14ac:dyDescent="0.2">
      <c r="A103" s="6"/>
      <c r="C103" s="279">
        <v>2021</v>
      </c>
      <c r="D103" s="278">
        <f>SUM(H20:H21,I21)</f>
        <v>15000</v>
      </c>
      <c r="E103" s="278">
        <f>SUM(H20:H22,I22)</f>
        <v>22000</v>
      </c>
      <c r="F103" s="278">
        <f>SUM(H20:H23,I23)</f>
        <v>22000</v>
      </c>
      <c r="G103" s="278"/>
      <c r="H103" s="100"/>
      <c r="I103" s="100"/>
      <c r="J103" s="100"/>
      <c r="K103" s="100"/>
      <c r="L103" s="2"/>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row>
    <row r="104" spans="1:49" ht="16" customHeight="1" x14ac:dyDescent="0.2">
      <c r="A104" s="6"/>
      <c r="C104" s="340"/>
      <c r="D104" s="278"/>
      <c r="E104" s="278"/>
      <c r="F104" s="278"/>
      <c r="G104" s="278"/>
      <c r="H104" s="100"/>
      <c r="I104" s="100"/>
      <c r="J104" s="100"/>
      <c r="K104" s="100"/>
      <c r="L104" s="2"/>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row>
    <row r="105" spans="1:49" ht="16" customHeight="1" x14ac:dyDescent="0.2">
      <c r="A105" s="6"/>
      <c r="B105" s="704" t="s">
        <v>571</v>
      </c>
      <c r="C105" s="704"/>
      <c r="D105" s="704"/>
      <c r="E105" s="704"/>
      <c r="F105" s="704"/>
      <c r="G105" s="704"/>
      <c r="H105" s="704"/>
      <c r="I105" s="704"/>
      <c r="J105" s="100"/>
      <c r="K105" s="100"/>
      <c r="L105" s="2"/>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row>
    <row r="106" spans="1:49" ht="16" customHeight="1" x14ac:dyDescent="0.2">
      <c r="A106" s="6"/>
      <c r="B106" s="704"/>
      <c r="C106" s="704"/>
      <c r="D106" s="704"/>
      <c r="E106" s="704"/>
      <c r="F106" s="704"/>
      <c r="G106" s="704"/>
      <c r="H106" s="704"/>
      <c r="I106" s="704"/>
      <c r="J106" s="100"/>
      <c r="K106" s="100"/>
      <c r="L106" s="2"/>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row>
    <row r="107" spans="1:49" x14ac:dyDescent="0.2">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row>
    <row r="108" spans="1:49" ht="19" x14ac:dyDescent="0.25">
      <c r="A108" s="4" t="s">
        <v>3</v>
      </c>
      <c r="B108" s="100"/>
      <c r="C108" s="100"/>
      <c r="D108" s="100"/>
      <c r="E108" s="100"/>
      <c r="F108" s="100"/>
      <c r="G108" s="100"/>
      <c r="H108" s="100"/>
      <c r="I108" s="100"/>
      <c r="J108" s="100"/>
      <c r="K108" s="100"/>
      <c r="L108" s="2"/>
      <c r="M108" s="2"/>
      <c r="N108" s="2"/>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row>
    <row r="109" spans="1:49" ht="16" customHeight="1" x14ac:dyDescent="0.25">
      <c r="A109" s="4"/>
      <c r="B109" s="664" t="s">
        <v>572</v>
      </c>
      <c r="C109" s="705"/>
      <c r="D109" s="705"/>
      <c r="E109" s="705"/>
      <c r="F109" s="705"/>
      <c r="G109" s="705"/>
      <c r="H109" s="705"/>
      <c r="I109" s="705"/>
      <c r="J109" s="100"/>
      <c r="K109" s="100"/>
      <c r="L109" s="2"/>
      <c r="M109" s="2"/>
      <c r="N109" s="2"/>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row>
    <row r="110" spans="1:49" ht="16" customHeight="1" x14ac:dyDescent="0.25">
      <c r="A110" s="4"/>
      <c r="B110" s="705"/>
      <c r="C110" s="705"/>
      <c r="D110" s="705"/>
      <c r="E110" s="705"/>
      <c r="F110" s="705"/>
      <c r="G110" s="705"/>
      <c r="H110" s="705"/>
      <c r="I110" s="705"/>
      <c r="J110" s="100"/>
      <c r="K110" s="100"/>
      <c r="L110" s="2"/>
      <c r="M110" s="2"/>
      <c r="N110" s="2"/>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row>
    <row r="111" spans="1:49" ht="16" customHeight="1" x14ac:dyDescent="0.25">
      <c r="A111" s="4"/>
      <c r="B111" s="332" t="s">
        <v>403</v>
      </c>
      <c r="C111" s="332"/>
      <c r="D111" s="332"/>
      <c r="E111" s="332"/>
      <c r="F111" s="332"/>
      <c r="G111" s="332"/>
      <c r="H111" s="332"/>
      <c r="I111" s="332"/>
      <c r="J111" s="100"/>
      <c r="K111" s="100"/>
      <c r="L111" s="2"/>
      <c r="M111" s="2"/>
      <c r="N111" s="2"/>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row>
    <row r="112" spans="1:49" ht="16" customHeight="1" x14ac:dyDescent="0.25">
      <c r="A112" s="4"/>
      <c r="B112" s="332" t="s">
        <v>404</v>
      </c>
      <c r="C112" s="332"/>
      <c r="D112" s="332"/>
      <c r="E112" s="332"/>
      <c r="F112" s="332"/>
      <c r="G112" s="332"/>
      <c r="H112" s="332"/>
      <c r="I112" s="332"/>
      <c r="J112" s="100"/>
      <c r="K112" s="100"/>
      <c r="L112" s="2"/>
      <c r="M112" s="2"/>
      <c r="N112" s="2"/>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row>
    <row r="113" spans="1:49" ht="16" customHeight="1" x14ac:dyDescent="0.25">
      <c r="A113" s="4"/>
      <c r="B113" s="332" t="s">
        <v>405</v>
      </c>
      <c r="C113" s="332"/>
      <c r="D113" s="332"/>
      <c r="E113" s="332"/>
      <c r="F113" s="332"/>
      <c r="G113" s="332"/>
      <c r="H113" s="332"/>
      <c r="I113" s="332"/>
      <c r="J113" s="332"/>
      <c r="K113" s="100"/>
      <c r="L113" s="2"/>
      <c r="M113" s="2"/>
      <c r="N113" s="2"/>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row>
    <row r="114" spans="1:49" ht="16" customHeight="1" x14ac:dyDescent="0.25">
      <c r="A114" s="4"/>
      <c r="B114" s="332" t="s">
        <v>406</v>
      </c>
      <c r="C114" s="332"/>
      <c r="D114" s="332"/>
      <c r="E114" s="332"/>
      <c r="F114" s="332"/>
      <c r="G114" s="332"/>
      <c r="H114" s="332"/>
      <c r="I114" s="332"/>
      <c r="J114" s="332"/>
      <c r="K114" s="100"/>
      <c r="L114" s="2"/>
      <c r="M114" s="2"/>
      <c r="N114" s="2"/>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row>
    <row r="115" spans="1:49" ht="16" customHeight="1" x14ac:dyDescent="0.25">
      <c r="A115" s="4"/>
      <c r="B115" s="332"/>
      <c r="C115" s="332"/>
      <c r="D115" s="332"/>
      <c r="E115" s="332"/>
      <c r="F115" s="332"/>
      <c r="G115" s="332"/>
      <c r="H115" s="332"/>
      <c r="I115" s="332"/>
      <c r="J115" s="332"/>
      <c r="K115" s="71"/>
      <c r="L115" s="2"/>
      <c r="M115" s="2"/>
      <c r="N115" s="2"/>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row>
    <row r="116" spans="1:49" ht="16" customHeight="1" x14ac:dyDescent="0.25">
      <c r="A116" s="4"/>
      <c r="B116" s="5" t="s">
        <v>396</v>
      </c>
      <c r="C116" s="7"/>
      <c r="F116" s="5"/>
      <c r="G116" s="7"/>
      <c r="H116" s="7"/>
      <c r="I116" s="7"/>
      <c r="J116" s="332"/>
      <c r="K116" s="71"/>
      <c r="L116" s="2"/>
      <c r="M116" s="2"/>
      <c r="N116" s="2"/>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row>
    <row r="117" spans="1:49" ht="16" customHeight="1" x14ac:dyDescent="0.25">
      <c r="A117" s="4"/>
      <c r="B117" s="705" t="s">
        <v>416</v>
      </c>
      <c r="C117" s="705"/>
      <c r="D117" s="705"/>
      <c r="E117" s="705"/>
      <c r="F117" s="705"/>
      <c r="G117" s="705"/>
      <c r="H117" s="705"/>
      <c r="I117" s="705"/>
      <c r="J117" s="332"/>
      <c r="K117" s="71"/>
      <c r="L117" s="2"/>
      <c r="M117" s="2"/>
      <c r="N117" s="2"/>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row>
    <row r="118" spans="1:49" ht="16" customHeight="1" x14ac:dyDescent="0.25">
      <c r="A118" s="4"/>
      <c r="B118" s="705"/>
      <c r="C118" s="705"/>
      <c r="D118" s="705"/>
      <c r="E118" s="705"/>
      <c r="F118" s="705"/>
      <c r="G118" s="705"/>
      <c r="H118" s="705"/>
      <c r="I118" s="705"/>
      <c r="J118" s="332"/>
      <c r="K118" s="71"/>
      <c r="L118" s="2"/>
      <c r="M118" s="2"/>
      <c r="N118" s="2"/>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row>
    <row r="119" spans="1:49" ht="16" customHeight="1" x14ac:dyDescent="0.25">
      <c r="A119" s="4"/>
      <c r="B119" s="705"/>
      <c r="C119" s="705"/>
      <c r="D119" s="705"/>
      <c r="E119" s="705"/>
      <c r="F119" s="705"/>
      <c r="G119" s="705"/>
      <c r="H119" s="705"/>
      <c r="I119" s="705"/>
      <c r="J119" s="332"/>
      <c r="K119" s="71"/>
      <c r="L119" s="2"/>
      <c r="M119" s="2"/>
      <c r="N119" s="2"/>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row>
    <row r="120" spans="1:49" ht="16" customHeight="1" x14ac:dyDescent="0.25">
      <c r="A120" s="4"/>
      <c r="B120" s="5"/>
      <c r="C120" s="7"/>
      <c r="F120" s="5"/>
      <c r="G120" s="7"/>
      <c r="H120" s="7"/>
      <c r="I120" s="7"/>
      <c r="J120" s="332"/>
      <c r="K120" s="71"/>
      <c r="L120" s="2"/>
      <c r="M120" s="2"/>
      <c r="N120" s="2"/>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row>
    <row r="121" spans="1:49" ht="16" customHeight="1" x14ac:dyDescent="0.25">
      <c r="A121" s="4"/>
      <c r="B121" s="666" t="s">
        <v>45</v>
      </c>
      <c r="C121" s="667"/>
      <c r="D121" s="667"/>
      <c r="E121" s="667"/>
      <c r="F121" s="666" t="s">
        <v>46</v>
      </c>
      <c r="G121" s="667"/>
      <c r="H121" s="667"/>
      <c r="I121" s="667"/>
      <c r="J121" s="332"/>
      <c r="K121" s="71"/>
      <c r="L121" s="2"/>
      <c r="M121" s="2"/>
      <c r="N121" s="2"/>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row>
    <row r="122" spans="1:49" ht="16" customHeight="1" x14ac:dyDescent="0.25">
      <c r="A122" s="4"/>
      <c r="B122" s="702" t="s">
        <v>409</v>
      </c>
      <c r="C122" s="702"/>
      <c r="D122" s="702"/>
      <c r="E122" s="702"/>
      <c r="F122" s="702" t="s">
        <v>407</v>
      </c>
      <c r="G122" s="702"/>
      <c r="H122" s="702"/>
      <c r="I122" s="702"/>
      <c r="J122" s="332"/>
      <c r="K122" s="71"/>
      <c r="L122" s="2"/>
      <c r="M122" s="2"/>
      <c r="N122" s="2"/>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row>
    <row r="123" spans="1:49" ht="16" customHeight="1" x14ac:dyDescent="0.25">
      <c r="A123" s="4"/>
      <c r="B123" s="702"/>
      <c r="C123" s="702"/>
      <c r="D123" s="702"/>
      <c r="E123" s="702"/>
      <c r="F123" s="702"/>
      <c r="G123" s="702"/>
      <c r="H123" s="702"/>
      <c r="I123" s="702"/>
      <c r="J123" s="332"/>
      <c r="K123" s="71"/>
      <c r="L123" s="2"/>
      <c r="M123" s="2"/>
      <c r="N123" s="2"/>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row>
    <row r="124" spans="1:49" ht="16" customHeight="1" x14ac:dyDescent="0.25">
      <c r="A124" s="4"/>
      <c r="B124" s="702"/>
      <c r="C124" s="702"/>
      <c r="D124" s="702"/>
      <c r="E124" s="702"/>
      <c r="F124" s="702"/>
      <c r="G124" s="702"/>
      <c r="H124" s="702"/>
      <c r="I124" s="702"/>
      <c r="J124" s="332"/>
      <c r="K124" s="71"/>
      <c r="L124" s="2"/>
      <c r="M124" s="2"/>
      <c r="N124" s="2"/>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row>
    <row r="125" spans="1:49" ht="16" customHeight="1" x14ac:dyDescent="0.25">
      <c r="A125" s="4"/>
      <c r="B125" s="332"/>
      <c r="C125" s="332"/>
      <c r="D125" s="332"/>
      <c r="E125" s="332"/>
      <c r="F125" s="332"/>
      <c r="G125" s="332"/>
      <c r="H125" s="332"/>
      <c r="I125" s="332"/>
      <c r="J125" s="332"/>
      <c r="K125" s="71"/>
      <c r="L125" s="2"/>
      <c r="M125" s="2"/>
      <c r="N125" s="2"/>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row>
    <row r="126" spans="1:49" ht="16" customHeight="1" x14ac:dyDescent="0.25">
      <c r="A126" s="4"/>
      <c r="B126" s="5" t="s">
        <v>397</v>
      </c>
      <c r="C126" s="332"/>
      <c r="D126" s="332"/>
      <c r="E126" s="332"/>
      <c r="F126" s="332"/>
      <c r="G126" s="332"/>
      <c r="H126" s="332"/>
      <c r="I126" s="332"/>
      <c r="J126" s="332"/>
      <c r="K126" s="71"/>
      <c r="L126" s="2"/>
      <c r="M126" s="2"/>
      <c r="N126" s="2"/>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row>
    <row r="127" spans="1:49" ht="16" customHeight="1" x14ac:dyDescent="0.25">
      <c r="A127" s="4"/>
      <c r="B127" s="705" t="s">
        <v>410</v>
      </c>
      <c r="C127" s="705"/>
      <c r="D127" s="705"/>
      <c r="E127" s="705"/>
      <c r="F127" s="705"/>
      <c r="G127" s="705"/>
      <c r="H127" s="705"/>
      <c r="I127" s="705"/>
      <c r="J127" s="71"/>
      <c r="K127" s="71"/>
      <c r="L127" s="2"/>
      <c r="M127" s="2"/>
      <c r="N127" s="2"/>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row>
    <row r="128" spans="1:49" ht="16" customHeight="1" x14ac:dyDescent="0.25">
      <c r="A128" s="4"/>
      <c r="B128" s="705"/>
      <c r="C128" s="705"/>
      <c r="D128" s="705"/>
      <c r="E128" s="705"/>
      <c r="F128" s="705"/>
      <c r="G128" s="705"/>
      <c r="H128" s="705"/>
      <c r="I128" s="705"/>
      <c r="J128" s="71"/>
      <c r="K128" s="71"/>
      <c r="L128" s="2"/>
      <c r="M128" s="2"/>
      <c r="N128" s="2"/>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row>
    <row r="129" spans="1:49" ht="16" customHeight="1" x14ac:dyDescent="0.25">
      <c r="A129" s="4"/>
      <c r="C129" s="7"/>
      <c r="G129" s="7"/>
      <c r="H129" s="7"/>
      <c r="I129" s="7"/>
      <c r="J129" s="71"/>
      <c r="K129" s="71"/>
      <c r="L129" s="2"/>
      <c r="M129" s="2"/>
      <c r="N129" s="2"/>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row>
    <row r="130" spans="1:49" ht="16" customHeight="1" x14ac:dyDescent="0.25">
      <c r="A130" s="4"/>
      <c r="B130" s="666" t="s">
        <v>45</v>
      </c>
      <c r="C130" s="667"/>
      <c r="D130" s="667"/>
      <c r="E130" s="667"/>
      <c r="F130" s="666" t="s">
        <v>46</v>
      </c>
      <c r="G130" s="667"/>
      <c r="H130" s="667"/>
      <c r="I130" s="667"/>
      <c r="J130" s="71"/>
      <c r="K130" s="71"/>
      <c r="L130" s="2"/>
      <c r="M130" s="2"/>
      <c r="N130" s="2"/>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row>
    <row r="131" spans="1:49" ht="16" customHeight="1" x14ac:dyDescent="0.25">
      <c r="A131" s="4"/>
      <c r="B131" s="702" t="s">
        <v>408</v>
      </c>
      <c r="C131" s="702"/>
      <c r="D131" s="702"/>
      <c r="E131" s="702"/>
      <c r="F131" s="702" t="s">
        <v>411</v>
      </c>
      <c r="G131" s="702"/>
      <c r="H131" s="702"/>
      <c r="I131" s="702"/>
      <c r="J131" s="71"/>
      <c r="K131" s="71"/>
      <c r="L131" s="2"/>
      <c r="M131" s="2"/>
      <c r="N131" s="2"/>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row>
    <row r="132" spans="1:49" ht="16" customHeight="1" x14ac:dyDescent="0.25">
      <c r="A132" s="4"/>
      <c r="B132" s="702"/>
      <c r="C132" s="702"/>
      <c r="D132" s="702"/>
      <c r="E132" s="702"/>
      <c r="F132" s="702"/>
      <c r="G132" s="702"/>
      <c r="H132" s="702"/>
      <c r="I132" s="702"/>
      <c r="J132" s="71"/>
      <c r="K132" s="71"/>
      <c r="L132" s="2"/>
      <c r="M132" s="2"/>
      <c r="N132" s="2"/>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row>
    <row r="133" spans="1:49" ht="16" customHeight="1" x14ac:dyDescent="0.25">
      <c r="A133" s="4"/>
      <c r="B133" s="332"/>
      <c r="C133" s="332"/>
      <c r="D133" s="332"/>
      <c r="E133" s="332"/>
      <c r="F133" s="332"/>
      <c r="G133" s="332"/>
      <c r="H133" s="332"/>
      <c r="I133" s="332"/>
      <c r="J133" s="71"/>
      <c r="K133" s="71"/>
      <c r="L133" s="2"/>
      <c r="M133" s="2"/>
      <c r="N133" s="2"/>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row>
    <row r="134" spans="1:49" ht="16" customHeight="1" x14ac:dyDescent="0.25">
      <c r="A134" s="4"/>
      <c r="B134" s="5" t="s">
        <v>398</v>
      </c>
      <c r="C134" s="332"/>
      <c r="D134" s="332"/>
      <c r="E134" s="332"/>
      <c r="F134" s="332"/>
      <c r="G134" s="332"/>
      <c r="H134" s="332"/>
      <c r="I134" s="332"/>
      <c r="J134" s="71"/>
      <c r="K134" s="71"/>
      <c r="L134" s="2"/>
      <c r="M134" s="2"/>
      <c r="N134" s="2"/>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row>
    <row r="135" spans="1:49" ht="16" customHeight="1" x14ac:dyDescent="0.25">
      <c r="A135" s="4"/>
      <c r="B135" s="705" t="s">
        <v>412</v>
      </c>
      <c r="C135" s="705"/>
      <c r="D135" s="705"/>
      <c r="E135" s="705"/>
      <c r="F135" s="705"/>
      <c r="G135" s="705"/>
      <c r="H135" s="705"/>
      <c r="I135" s="705"/>
      <c r="J135" s="71"/>
      <c r="K135" s="71"/>
      <c r="L135" s="2"/>
      <c r="M135" s="2"/>
      <c r="N135" s="2"/>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row>
    <row r="136" spans="1:49" ht="16" customHeight="1" x14ac:dyDescent="0.25">
      <c r="A136" s="4"/>
      <c r="B136" s="705"/>
      <c r="C136" s="705"/>
      <c r="D136" s="705"/>
      <c r="E136" s="705"/>
      <c r="F136" s="705"/>
      <c r="G136" s="705"/>
      <c r="H136" s="705"/>
      <c r="I136" s="705"/>
      <c r="J136" s="71"/>
      <c r="K136" s="71"/>
      <c r="L136" s="2"/>
      <c r="M136" s="2"/>
      <c r="N136" s="2"/>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row>
    <row r="137" spans="1:49" ht="16" customHeight="1" x14ac:dyDescent="0.25">
      <c r="A137" s="4"/>
      <c r="B137" s="705"/>
      <c r="C137" s="705"/>
      <c r="D137" s="705"/>
      <c r="E137" s="705"/>
      <c r="F137" s="705"/>
      <c r="G137" s="705"/>
      <c r="H137" s="705"/>
      <c r="I137" s="705"/>
      <c r="J137" s="71"/>
      <c r="K137" s="71"/>
      <c r="L137" s="2"/>
      <c r="M137" s="2"/>
      <c r="N137" s="2"/>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row>
    <row r="138" spans="1:49" ht="16" customHeight="1" x14ac:dyDescent="0.25">
      <c r="A138" s="4"/>
      <c r="C138" s="7"/>
      <c r="D138" s="332"/>
      <c r="E138" s="332"/>
      <c r="F138" s="332"/>
      <c r="G138" s="7"/>
      <c r="H138" s="7"/>
      <c r="I138" s="7"/>
      <c r="J138" s="71"/>
      <c r="K138" s="71"/>
      <c r="L138" s="2"/>
      <c r="M138" s="2"/>
      <c r="N138" s="2"/>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row>
    <row r="139" spans="1:49" ht="16" customHeight="1" x14ac:dyDescent="0.25">
      <c r="A139" s="4"/>
      <c r="B139" s="666" t="s">
        <v>45</v>
      </c>
      <c r="C139" s="667"/>
      <c r="D139" s="667"/>
      <c r="E139" s="667"/>
      <c r="F139" s="666" t="s">
        <v>46</v>
      </c>
      <c r="G139" s="667"/>
      <c r="H139" s="667"/>
      <c r="I139" s="667"/>
      <c r="J139" s="71"/>
      <c r="K139" s="71"/>
      <c r="L139" s="2"/>
      <c r="M139" s="2"/>
      <c r="N139" s="2"/>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row>
    <row r="140" spans="1:49" ht="16" customHeight="1" x14ac:dyDescent="0.25">
      <c r="A140" s="4"/>
      <c r="B140" s="702" t="s">
        <v>413</v>
      </c>
      <c r="C140" s="702"/>
      <c r="D140" s="702"/>
      <c r="E140" s="702"/>
      <c r="F140" s="702" t="s">
        <v>414</v>
      </c>
      <c r="G140" s="702"/>
      <c r="H140" s="702"/>
      <c r="I140" s="702"/>
      <c r="J140" s="71"/>
      <c r="K140" s="71"/>
      <c r="L140" s="2"/>
      <c r="M140" s="2"/>
      <c r="N140" s="2"/>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row>
    <row r="141" spans="1:49" ht="16" customHeight="1" x14ac:dyDescent="0.25">
      <c r="A141" s="4"/>
      <c r="B141" s="702"/>
      <c r="C141" s="702"/>
      <c r="D141" s="702"/>
      <c r="E141" s="702"/>
      <c r="F141" s="702"/>
      <c r="G141" s="702"/>
      <c r="H141" s="702"/>
      <c r="I141" s="702"/>
      <c r="J141" s="71"/>
      <c r="K141" s="71"/>
      <c r="L141" s="2"/>
      <c r="M141" s="2"/>
      <c r="N141" s="2"/>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row>
    <row r="142" spans="1:49" ht="16" customHeight="1" x14ac:dyDescent="0.25">
      <c r="A142" s="4"/>
      <c r="B142" s="702"/>
      <c r="C142" s="702"/>
      <c r="D142" s="702"/>
      <c r="E142" s="702"/>
      <c r="F142" s="702"/>
      <c r="G142" s="702"/>
      <c r="H142" s="702"/>
      <c r="I142" s="702"/>
      <c r="J142" s="71"/>
      <c r="K142" s="71"/>
      <c r="L142" s="2"/>
      <c r="M142" s="2"/>
      <c r="N142" s="2"/>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row>
    <row r="143" spans="1:49" ht="16" customHeight="1" x14ac:dyDescent="0.25">
      <c r="A143" s="4"/>
      <c r="B143" s="5" t="s">
        <v>399</v>
      </c>
      <c r="C143" s="332"/>
      <c r="D143" s="332"/>
      <c r="E143" s="332"/>
      <c r="F143" s="332"/>
      <c r="G143" s="332"/>
      <c r="H143" s="332"/>
      <c r="I143" s="332"/>
      <c r="J143" s="71"/>
      <c r="K143" s="71"/>
      <c r="L143" s="2"/>
      <c r="M143" s="2"/>
      <c r="N143" s="2"/>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row>
    <row r="144" spans="1:49" ht="16" customHeight="1" x14ac:dyDescent="0.25">
      <c r="A144" s="4"/>
      <c r="B144" s="705" t="s">
        <v>415</v>
      </c>
      <c r="C144" s="705"/>
      <c r="D144" s="705"/>
      <c r="E144" s="705"/>
      <c r="F144" s="705"/>
      <c r="G144" s="705"/>
      <c r="H144" s="705"/>
      <c r="I144" s="705"/>
      <c r="J144" s="71"/>
      <c r="K144" s="71"/>
      <c r="L144" s="2"/>
      <c r="M144" s="2"/>
      <c r="N144" s="2"/>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row>
    <row r="145" spans="1:65" ht="16" customHeight="1" x14ac:dyDescent="0.25">
      <c r="A145" s="4"/>
      <c r="B145" s="705"/>
      <c r="C145" s="705"/>
      <c r="D145" s="705"/>
      <c r="E145" s="705"/>
      <c r="F145" s="705"/>
      <c r="G145" s="705"/>
      <c r="H145" s="705"/>
      <c r="I145" s="705"/>
      <c r="J145" s="71"/>
      <c r="K145" s="71"/>
      <c r="L145" s="2"/>
      <c r="M145" s="2"/>
      <c r="N145" s="2"/>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row>
    <row r="146" spans="1:65" ht="16" customHeight="1" x14ac:dyDescent="0.25">
      <c r="A146" s="4"/>
      <c r="B146" s="705"/>
      <c r="C146" s="705"/>
      <c r="D146" s="705"/>
      <c r="E146" s="705"/>
      <c r="F146" s="705"/>
      <c r="G146" s="705"/>
      <c r="H146" s="705"/>
      <c r="I146" s="705"/>
      <c r="J146" s="71"/>
      <c r="K146" s="71"/>
      <c r="L146" s="2"/>
      <c r="M146" s="2"/>
      <c r="N146" s="2"/>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row>
    <row r="147" spans="1:65" ht="16" customHeight="1" x14ac:dyDescent="0.25">
      <c r="A147" s="4"/>
      <c r="B147" s="71"/>
      <c r="C147" s="71"/>
      <c r="D147" s="71"/>
      <c r="E147" s="71"/>
      <c r="F147" s="71"/>
      <c r="G147" s="71"/>
      <c r="H147" s="71"/>
      <c r="I147" s="71"/>
      <c r="J147" s="71"/>
      <c r="K147" s="71"/>
      <c r="L147" s="2"/>
      <c r="M147" s="2"/>
      <c r="N147" s="2"/>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row>
    <row r="148" spans="1:65" ht="19" x14ac:dyDescent="0.25">
      <c r="A148" s="4" t="s">
        <v>1</v>
      </c>
      <c r="B148" s="100"/>
      <c r="C148" s="100"/>
      <c r="D148" s="100"/>
      <c r="E148" s="100"/>
      <c r="F148" s="100"/>
      <c r="G148" s="100"/>
      <c r="H148" s="100"/>
      <c r="I148" s="100"/>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1:65" x14ac:dyDescent="0.2">
      <c r="A149" s="2"/>
      <c r="B149" t="s">
        <v>417</v>
      </c>
      <c r="C149" s="100"/>
      <c r="D149" s="100"/>
      <c r="E149" s="100"/>
      <c r="F149" s="100"/>
      <c r="G149" s="100"/>
      <c r="H149" s="100"/>
      <c r="I149" s="100"/>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1:65" x14ac:dyDescent="0.2">
      <c r="A150" s="2"/>
      <c r="B150" t="s">
        <v>616</v>
      </c>
      <c r="C150" s="100"/>
      <c r="D150" s="100"/>
      <c r="E150" s="100"/>
      <c r="F150" s="100"/>
      <c r="G150" s="100"/>
      <c r="H150" s="100"/>
      <c r="I150" s="100"/>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1:65" x14ac:dyDescent="0.2">
      <c r="A151" s="2"/>
      <c r="B151" s="100"/>
      <c r="C151" s="100"/>
      <c r="D151" s="100"/>
      <c r="E151" s="100"/>
      <c r="F151" s="100"/>
      <c r="G151" s="100"/>
      <c r="H151" s="100"/>
      <c r="I151" s="100"/>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1:65" ht="19" x14ac:dyDescent="0.25">
      <c r="A152" s="4" t="s">
        <v>0</v>
      </c>
      <c r="B152" s="100"/>
      <c r="C152" s="100"/>
      <c r="D152" s="100"/>
      <c r="E152" s="100"/>
      <c r="F152" s="100"/>
      <c r="G152" s="100"/>
      <c r="H152" s="100"/>
      <c r="I152" s="100"/>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1:65" x14ac:dyDescent="0.2">
      <c r="A153" s="2"/>
      <c r="B153" t="s">
        <v>617</v>
      </c>
      <c r="C153" s="100"/>
      <c r="D153" s="100"/>
      <c r="E153" s="100"/>
      <c r="F153" s="100"/>
      <c r="G153" s="100"/>
      <c r="H153" s="100"/>
      <c r="I153" s="100"/>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1:65" x14ac:dyDescent="0.2">
      <c r="A154" s="2"/>
      <c r="B154" t="s">
        <v>618</v>
      </c>
      <c r="C154" s="100"/>
      <c r="D154" s="100"/>
      <c r="E154" s="100"/>
      <c r="F154" s="100"/>
      <c r="G154" s="100"/>
      <c r="H154" s="100"/>
      <c r="I154" s="100"/>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1:65" x14ac:dyDescent="0.2">
      <c r="A155" s="2"/>
      <c r="B155" t="s">
        <v>641</v>
      </c>
      <c r="C155" s="100"/>
      <c r="D155" s="100"/>
      <c r="E155" s="100"/>
      <c r="F155" s="100"/>
      <c r="G155" s="100"/>
      <c r="H155" s="100"/>
      <c r="I155" s="100"/>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1:65" x14ac:dyDescent="0.2">
      <c r="A156" s="2"/>
      <c r="B156" t="s">
        <v>619</v>
      </c>
      <c r="C156" s="100"/>
      <c r="D156" s="100"/>
      <c r="E156" s="100"/>
      <c r="F156" s="100"/>
      <c r="G156" s="100"/>
      <c r="H156" s="100"/>
      <c r="I156" s="100"/>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1:65" x14ac:dyDescent="0.2">
      <c r="A157" s="2"/>
      <c r="B157" t="s">
        <v>620</v>
      </c>
      <c r="C157" s="100"/>
      <c r="D157" s="100"/>
      <c r="E157" s="100"/>
      <c r="F157" s="100"/>
      <c r="G157" s="100"/>
      <c r="H157" s="100"/>
      <c r="I157" s="100"/>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1:65" x14ac:dyDescent="0.2">
      <c r="A158" s="2"/>
      <c r="B158" t="s">
        <v>593</v>
      </c>
      <c r="C158" s="100"/>
      <c r="D158" s="100"/>
      <c r="E158" s="100"/>
      <c r="F158" s="100"/>
      <c r="G158" s="100"/>
      <c r="H158" s="100"/>
      <c r="I158" s="100"/>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1:65" x14ac:dyDescent="0.2">
      <c r="A159" s="2"/>
      <c r="B159" t="s">
        <v>621</v>
      </c>
      <c r="C159" s="100"/>
      <c r="D159" s="100"/>
      <c r="E159" s="100"/>
      <c r="F159" s="100"/>
      <c r="G159" s="100"/>
      <c r="H159" s="100"/>
      <c r="I159" s="100"/>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1:65" x14ac:dyDescent="0.2">
      <c r="B160" t="s">
        <v>594</v>
      </c>
    </row>
    <row r="161" spans="2:2" x14ac:dyDescent="0.2">
      <c r="B161" t="s">
        <v>622</v>
      </c>
    </row>
    <row r="162" spans="2:2" x14ac:dyDescent="0.2">
      <c r="B162" t="s">
        <v>623</v>
      </c>
    </row>
    <row r="163" spans="2:2" x14ac:dyDescent="0.2">
      <c r="B163" t="s">
        <v>624</v>
      </c>
    </row>
  </sheetData>
  <mergeCells count="30">
    <mergeCell ref="B127:I128"/>
    <mergeCell ref="B144:I146"/>
    <mergeCell ref="B135:I137"/>
    <mergeCell ref="B139:E139"/>
    <mergeCell ref="F139:I139"/>
    <mergeCell ref="B140:E142"/>
    <mergeCell ref="F140:I142"/>
    <mergeCell ref="B130:E130"/>
    <mergeCell ref="F130:I130"/>
    <mergeCell ref="B131:E132"/>
    <mergeCell ref="F131:I132"/>
    <mergeCell ref="B20:B23"/>
    <mergeCell ref="B17:B19"/>
    <mergeCell ref="B13:B16"/>
    <mergeCell ref="B9:B12"/>
    <mergeCell ref="B66:I67"/>
    <mergeCell ref="B51:I52"/>
    <mergeCell ref="B33:I34"/>
    <mergeCell ref="B39:I41"/>
    <mergeCell ref="B122:E124"/>
    <mergeCell ref="B69:I71"/>
    <mergeCell ref="B54:I56"/>
    <mergeCell ref="B82:I83"/>
    <mergeCell ref="B96:I97"/>
    <mergeCell ref="B105:I106"/>
    <mergeCell ref="B109:I110"/>
    <mergeCell ref="B117:I119"/>
    <mergeCell ref="B121:E121"/>
    <mergeCell ref="F121:I121"/>
    <mergeCell ref="F122:I124"/>
  </mergeCells>
  <phoneticPr fontId="55" type="noConversion"/>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Agg. Exposures</vt:lpstr>
      <vt:lpstr>Agg. Exposures - Blocks</vt:lpstr>
      <vt:lpstr>Uneven Earning Pattern</vt:lpstr>
      <vt:lpstr>Extension of Exposures</vt:lpstr>
      <vt:lpstr>Parallelogram Method</vt:lpstr>
      <vt:lpstr>Premium Development</vt:lpstr>
      <vt:lpstr>1-Step Premium Trend</vt:lpstr>
      <vt:lpstr>2-Step Premium Trend</vt:lpstr>
      <vt:lpstr>Loss Aggregation</vt:lpstr>
      <vt:lpstr>Extraordinary Losses</vt:lpstr>
      <vt:lpstr>Loss Ratio Method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Rising Fellow</dc:creator>
  <cp:keywords/>
  <dc:description/>
  <cp:lastModifiedBy>Steve Roll</cp:lastModifiedBy>
  <cp:lastPrinted>2023-04-03T15:19:44Z</cp:lastPrinted>
  <dcterms:created xsi:type="dcterms:W3CDTF">2023-03-27T17:30:09Z</dcterms:created>
  <dcterms:modified xsi:type="dcterms:W3CDTF">2023-11-06T16:16:03Z</dcterms:modified>
  <cp:category/>
</cp:coreProperties>
</file>