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michaelmcphail/Documents/Casual_Fellows/Exam7/Exam7_CASProblems_CBT/"/>
    </mc:Choice>
  </mc:AlternateContent>
  <xr:revisionPtr revIDLastSave="0" documentId="13_ncr:1_{B9589FBA-B82E-834F-8971-F92EFE740580}" xr6:coauthVersionLast="45" xr6:coauthVersionMax="45" xr10:uidLastSave="{00000000-0000-0000-0000-000000000000}"/>
  <bookViews>
    <workbookView xWindow="260" yWindow="500" windowWidth="21300" windowHeight="15800" tabRatio="500" xr2:uid="{00000000-000D-0000-FFFF-FFFF00000000}"/>
  </bookViews>
  <sheets>
    <sheet name="2019 #5" sheetId="1" r:id="rId1"/>
    <sheet name="2019 #6" sheetId="37" r:id="rId2"/>
    <sheet name="2019 #8" sheetId="38" r:id="rId3"/>
    <sheet name="2017 #4" sheetId="40" r:id="rId4"/>
    <sheet name="2017 #5" sheetId="41" r:id="rId5"/>
    <sheet name="2016 #3" sheetId="42" r:id="rId6"/>
    <sheet name="2016 #4" sheetId="43" r:id="rId7"/>
    <sheet name="2015 #2" sheetId="39" r:id="rId8"/>
    <sheet name="2014 #3" sheetId="44" r:id="rId9"/>
    <sheet name="2014 #5" sheetId="45" r:id="rId10"/>
    <sheet name="2013 #3" sheetId="46" r:id="rId11"/>
    <sheet name="2012 #2" sheetId="47" r:id="rId12"/>
    <sheet name="2011 #2" sheetId="48" r:id="rId1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7" i="48" l="1"/>
  <c r="L26" i="48"/>
  <c r="L25" i="48"/>
  <c r="L24" i="48"/>
  <c r="L20" i="48"/>
  <c r="O17" i="48"/>
  <c r="O18" i="48"/>
  <c r="O16" i="48"/>
  <c r="N18" i="48"/>
  <c r="N17" i="48"/>
  <c r="N16" i="48"/>
  <c r="M17" i="48"/>
  <c r="M18" i="48"/>
  <c r="M16" i="48"/>
  <c r="M15" i="48"/>
  <c r="L10" i="48"/>
  <c r="O8" i="48"/>
  <c r="M8" i="48"/>
  <c r="L8" i="48"/>
  <c r="O7" i="48"/>
  <c r="M7" i="48"/>
  <c r="L7" i="48"/>
  <c r="O6" i="48"/>
  <c r="M6" i="48"/>
  <c r="L6" i="48"/>
  <c r="P6" i="48" s="1"/>
  <c r="L26" i="47"/>
  <c r="L22" i="42"/>
  <c r="L22" i="47"/>
  <c r="L32" i="47"/>
  <c r="O9" i="47"/>
  <c r="M9" i="47"/>
  <c r="L9" i="47"/>
  <c r="P9" i="47" s="1"/>
  <c r="O8" i="47"/>
  <c r="M8" i="47"/>
  <c r="L8" i="47"/>
  <c r="O7" i="47"/>
  <c r="M7" i="47"/>
  <c r="L7" i="47"/>
  <c r="O6" i="47"/>
  <c r="M6" i="47"/>
  <c r="L6" i="47"/>
  <c r="N40" i="46"/>
  <c r="M41" i="46"/>
  <c r="M40" i="46"/>
  <c r="L41" i="46"/>
  <c r="L42" i="46"/>
  <c r="L40" i="46"/>
  <c r="M28" i="46"/>
  <c r="L10" i="46"/>
  <c r="M33" i="46"/>
  <c r="N24" i="46"/>
  <c r="M25" i="46"/>
  <c r="M24" i="46"/>
  <c r="L25" i="46"/>
  <c r="L26" i="46"/>
  <c r="L24" i="46"/>
  <c r="N17" i="46"/>
  <c r="M18" i="46"/>
  <c r="M17" i="46"/>
  <c r="L19" i="46"/>
  <c r="L18" i="46"/>
  <c r="L17" i="46"/>
  <c r="N7" i="46"/>
  <c r="O7" i="46" s="1"/>
  <c r="N8" i="46"/>
  <c r="O8" i="46" s="1"/>
  <c r="N6" i="46"/>
  <c r="O6" i="46" s="1"/>
  <c r="L8" i="46"/>
  <c r="L7" i="46"/>
  <c r="L6" i="46"/>
  <c r="L22" i="45"/>
  <c r="L24" i="45" s="1"/>
  <c r="L18" i="45"/>
  <c r="L10" i="45"/>
  <c r="L6" i="45"/>
  <c r="L4" i="45"/>
  <c r="M17" i="44"/>
  <c r="M16" i="44"/>
  <c r="M15" i="44"/>
  <c r="M13" i="44"/>
  <c r="M11" i="44"/>
  <c r="M7" i="44"/>
  <c r="N7" i="44"/>
  <c r="M8" i="44"/>
  <c r="L8" i="44"/>
  <c r="L9" i="44"/>
  <c r="L7" i="44"/>
  <c r="L16" i="39"/>
  <c r="L12" i="39"/>
  <c r="L10" i="39"/>
  <c r="L13" i="39"/>
  <c r="P6" i="39"/>
  <c r="P7" i="39"/>
  <c r="P8" i="39"/>
  <c r="P5" i="39"/>
  <c r="O8" i="39"/>
  <c r="O7" i="39"/>
  <c r="O6" i="39"/>
  <c r="O5" i="39"/>
  <c r="O4" i="39"/>
  <c r="N5" i="39"/>
  <c r="N6" i="39"/>
  <c r="N7" i="39"/>
  <c r="N8" i="39"/>
  <c r="N4" i="39"/>
  <c r="L6" i="39"/>
  <c r="L7" i="39"/>
  <c r="L8" i="39"/>
  <c r="L5" i="39"/>
  <c r="O15" i="43"/>
  <c r="O16" i="43"/>
  <c r="O17" i="43"/>
  <c r="O14" i="43"/>
  <c r="L4" i="43"/>
  <c r="L6" i="43" s="1"/>
  <c r="P15" i="43"/>
  <c r="P17" i="43"/>
  <c r="Q17" i="43" s="1"/>
  <c r="M14" i="43"/>
  <c r="M15" i="43"/>
  <c r="M16" i="43"/>
  <c r="M17" i="43"/>
  <c r="L15" i="43"/>
  <c r="L16" i="43"/>
  <c r="L17" i="43"/>
  <c r="L14" i="43"/>
  <c r="L42" i="42"/>
  <c r="L41" i="42"/>
  <c r="L40" i="42"/>
  <c r="N38" i="42"/>
  <c r="N34" i="42"/>
  <c r="N35" i="42"/>
  <c r="N36" i="42"/>
  <c r="N33" i="42"/>
  <c r="M34" i="42"/>
  <c r="M35" i="42"/>
  <c r="M36" i="42"/>
  <c r="L36" i="42"/>
  <c r="L34" i="42"/>
  <c r="L35" i="42"/>
  <c r="L33" i="42"/>
  <c r="L28" i="42"/>
  <c r="L27" i="42"/>
  <c r="L26" i="42"/>
  <c r="L18" i="42"/>
  <c r="L19" i="42"/>
  <c r="L20" i="42"/>
  <c r="L17" i="42"/>
  <c r="L11" i="42"/>
  <c r="O7" i="42"/>
  <c r="O8" i="42"/>
  <c r="O9" i="42"/>
  <c r="O6" i="42"/>
  <c r="M33" i="42" s="1"/>
  <c r="M6" i="42"/>
  <c r="M7" i="42"/>
  <c r="M8" i="42"/>
  <c r="M9" i="42"/>
  <c r="L7" i="42"/>
  <c r="L8" i="42"/>
  <c r="L9" i="42"/>
  <c r="L6" i="42"/>
  <c r="P9" i="42"/>
  <c r="L35" i="41"/>
  <c r="M31" i="41"/>
  <c r="O31" i="41" s="1"/>
  <c r="P31" i="41" s="1"/>
  <c r="P32" i="41"/>
  <c r="P33" i="41"/>
  <c r="O32" i="41"/>
  <c r="O33" i="41"/>
  <c r="N32" i="41"/>
  <c r="N33" i="41"/>
  <c r="N31" i="41"/>
  <c r="M32" i="41"/>
  <c r="M33" i="41"/>
  <c r="L32" i="41"/>
  <c r="L33" i="41"/>
  <c r="L31" i="41"/>
  <c r="L24" i="41"/>
  <c r="L26" i="41" s="1"/>
  <c r="L23" i="41"/>
  <c r="L19" i="41"/>
  <c r="L16" i="41"/>
  <c r="L17" i="41"/>
  <c r="L15" i="41"/>
  <c r="L10" i="41"/>
  <c r="P7" i="41"/>
  <c r="P8" i="41"/>
  <c r="P6" i="41"/>
  <c r="O8" i="41"/>
  <c r="O7" i="41"/>
  <c r="O6" i="41"/>
  <c r="M6" i="41"/>
  <c r="M7" i="41"/>
  <c r="M8" i="41"/>
  <c r="L7" i="41"/>
  <c r="L8" i="41"/>
  <c r="L6" i="41"/>
  <c r="Q6" i="40"/>
  <c r="Q7" i="40"/>
  <c r="Q8" i="40"/>
  <c r="Q9" i="40"/>
  <c r="Q5" i="40"/>
  <c r="P6" i="40"/>
  <c r="P7" i="40"/>
  <c r="P8" i="40"/>
  <c r="P9" i="40"/>
  <c r="P5" i="40"/>
  <c r="O6" i="40"/>
  <c r="O7" i="40"/>
  <c r="O8" i="40"/>
  <c r="O9" i="40"/>
  <c r="O5" i="40"/>
  <c r="M5" i="40"/>
  <c r="M6" i="40"/>
  <c r="M7" i="40"/>
  <c r="M8" i="40"/>
  <c r="M9" i="40"/>
  <c r="L6" i="40"/>
  <c r="L7" i="40"/>
  <c r="L8" i="40"/>
  <c r="L9" i="40"/>
  <c r="L5" i="40"/>
  <c r="M18" i="37"/>
  <c r="M20" i="37" s="1"/>
  <c r="M22" i="37" s="1"/>
  <c r="M24" i="37" s="1"/>
  <c r="O4" i="37"/>
  <c r="N12" i="37"/>
  <c r="N10" i="37"/>
  <c r="L8" i="37"/>
  <c r="P5" i="37"/>
  <c r="P6" i="37"/>
  <c r="P4" i="37"/>
  <c r="O5" i="37"/>
  <c r="O6" i="37"/>
  <c r="M6" i="37"/>
  <c r="M5" i="37"/>
  <c r="M4" i="37"/>
  <c r="L5" i="37"/>
  <c r="L6" i="37"/>
  <c r="L4" i="37"/>
  <c r="L7" i="1"/>
  <c r="L6" i="1"/>
  <c r="L5" i="1"/>
  <c r="L4" i="1"/>
  <c r="L3" i="1"/>
  <c r="P7" i="48" l="1"/>
  <c r="P8" i="48"/>
  <c r="P7" i="47"/>
  <c r="P8" i="47"/>
  <c r="P6" i="47"/>
  <c r="L11" i="47" s="1"/>
  <c r="L18" i="47" s="1"/>
  <c r="M35" i="46"/>
  <c r="L14" i="39"/>
  <c r="Q15" i="43"/>
  <c r="P16" i="43"/>
  <c r="Q16" i="43" s="1"/>
  <c r="P14" i="43"/>
  <c r="Q14" i="43" s="1"/>
  <c r="P7" i="42"/>
  <c r="P8" i="42"/>
  <c r="P6" i="42"/>
  <c r="L17" i="47" l="1"/>
  <c r="L20" i="47"/>
  <c r="L19" i="47"/>
  <c r="L31" i="47" l="1"/>
  <c r="L33" i="47" s="1"/>
  <c r="L34" i="47" s="1"/>
  <c r="L27" i="47"/>
</calcChain>
</file>

<file path=xl/sharedStrings.xml><?xml version="1.0" encoding="utf-8"?>
<sst xmlns="http://schemas.openxmlformats.org/spreadsheetml/2006/main" count="582" uniqueCount="284">
  <si>
    <t>Source:</t>
  </si>
  <si>
    <t>Points:</t>
  </si>
  <si>
    <t>b.</t>
  </si>
  <si>
    <t>0.50 points</t>
  </si>
  <si>
    <t>Solution -&gt;</t>
  </si>
  <si>
    <t>Part a:</t>
  </si>
  <si>
    <t>Part b:</t>
  </si>
  <si>
    <t>c.</t>
  </si>
  <si>
    <t>Part c:</t>
  </si>
  <si>
    <t>a.</t>
  </si>
  <si>
    <t>Exam 7</t>
  </si>
  <si>
    <t>1.25 points</t>
  </si>
  <si>
    <t>Spring 2017</t>
  </si>
  <si>
    <t>Spring 2016</t>
  </si>
  <si>
    <t>Spring 2014</t>
  </si>
  <si>
    <t>1.00 points</t>
  </si>
  <si>
    <t>AY</t>
  </si>
  <si>
    <t>0.25 points</t>
  </si>
  <si>
    <t>Spring 2015</t>
  </si>
  <si>
    <t>-</t>
  </si>
  <si>
    <t>24 Months</t>
  </si>
  <si>
    <t>12 Months</t>
  </si>
  <si>
    <t>36 Months</t>
  </si>
  <si>
    <t>Spring 2019</t>
  </si>
  <si>
    <t>Accident 
Year</t>
  </si>
  <si>
    <t>Total</t>
  </si>
  <si>
    <t>2.00 points</t>
  </si>
  <si>
    <t>Expected Losses</t>
  </si>
  <si>
    <t>1.75 points</t>
  </si>
  <si>
    <t>0.75 points</t>
  </si>
  <si>
    <t>Spring 2013</t>
  </si>
  <si>
    <t>Q #5</t>
  </si>
  <si>
    <t>A Cape Cod loss reserving calculation has the following inputs and estimates:</t>
  </si>
  <si>
    <t>-Total premium is:</t>
  </si>
  <si>
    <t>-Estimated ELR is:</t>
  </si>
  <si>
    <t>-Process variance/mean ratio is:</t>
  </si>
  <si>
    <t>-The parameter covariance matrix is:</t>
  </si>
  <si>
    <t>ELR</t>
  </si>
  <si>
    <t>⍵</t>
  </si>
  <si>
    <t>θ</t>
  </si>
  <si>
    <t>Calculate the coefficient of variation of prospective losses.</t>
  </si>
  <si>
    <t>Briefly describe what process variance and parameter</t>
  </si>
  <si>
    <t>variance of the prospective losses measure.</t>
  </si>
  <si>
    <t>Briefly describe whether the Cape Cod method typically has</t>
  </si>
  <si>
    <t>a higher or lower parameter variance than the chain ladder</t>
  </si>
  <si>
    <t>method.</t>
  </si>
  <si>
    <t>Process var</t>
  </si>
  <si>
    <t>&lt;-Expected losses * Process var/mean ratio</t>
  </si>
  <si>
    <t>Parameter var</t>
  </si>
  <si>
    <t>&lt;-Var(ELR*Premium) = Premium^2*Var(ELR)</t>
  </si>
  <si>
    <t>Total SD</t>
  </si>
  <si>
    <t>Total CoV</t>
  </si>
  <si>
    <t>Process variance measures uncertainty from inherent randomness of the insurance</t>
  </si>
  <si>
    <t>process. Parameter variance measures uncertainty in the estimated parameters</t>
  </si>
  <si>
    <t xml:space="preserve">The Cape Cod method has a lower parameter variance because it incorporates more information </t>
  </si>
  <si>
    <t>from the exposure base (i.e. premium) and it uses less parameters</t>
  </si>
  <si>
    <t>Q #6</t>
  </si>
  <si>
    <t>Given the following information as of December 31, 2018:</t>
  </si>
  <si>
    <t>Accident
 Year</t>
  </si>
  <si>
    <t>Cumulative Paid Loss ($000,000)
 as of (months)</t>
  </si>
  <si>
    <t>12 mos.</t>
  </si>
  <si>
    <t>24 mo.</t>
  </si>
  <si>
    <t>36 mos.</t>
  </si>
  <si>
    <t>On-Level 
Earned Premium ($000,000)</t>
  </si>
  <si>
    <t>⍵ =</t>
  </si>
  <si>
    <t>θ =</t>
  </si>
  <si>
    <t>-There are no payments after 120 months</t>
  </si>
  <si>
    <t>-Accidents occur uniformly throughout the year</t>
  </si>
  <si>
    <t>-The scale parameter,      , is:</t>
  </si>
  <si>
    <t xml:space="preserve">Calculate the incremental fitted payment and corresponding normalized </t>
  </si>
  <si>
    <t>residual for accident year 2018 at 12 months using the Cape Cod method.</t>
  </si>
  <si>
    <t>Calculate ultimate losses for accident year 2016 using the Cape Cod method.</t>
  </si>
  <si>
    <t>OLP</t>
  </si>
  <si>
    <t>Losses</t>
  </si>
  <si>
    <t>Avg. Age</t>
  </si>
  <si>
    <t>Growth</t>
  </si>
  <si>
    <t>OLP * Growth</t>
  </si>
  <si>
    <t>Fitted Incremental payment for 2018 at 12</t>
  </si>
  <si>
    <t>Normalized Resid</t>
  </si>
  <si>
    <t>&lt;-ELR*OLP*Growth</t>
  </si>
  <si>
    <t>&lt;-(Actual - Fitted)/sqrt(sigma^2*Fitted)</t>
  </si>
  <si>
    <t>Truncation occurs at 120 months (avg. age of 114)</t>
  </si>
  <si>
    <t>Growth at 120</t>
  </si>
  <si>
    <t>Truncated unpaid % for 2016</t>
  </si>
  <si>
    <t>2016 Reserves</t>
  </si>
  <si>
    <t>&lt;-ELR*OLP*Truncated Unpaid %</t>
  </si>
  <si>
    <t>2016 Ult</t>
  </si>
  <si>
    <t>Q #8</t>
  </si>
  <si>
    <t xml:space="preserve">Briefly explain when a curve-fitting method for selecting loss emergence </t>
  </si>
  <si>
    <t xml:space="preserve">patterns will produce a higher mean estimate of ultimate losses than a </t>
  </si>
  <si>
    <t>weighted average method.</t>
  </si>
  <si>
    <t>b</t>
  </si>
  <si>
    <t xml:space="preserve">Identify one reason why each of the methods in part a. above might be </t>
  </si>
  <si>
    <t>better than the other for estimating the payment pattern.</t>
  </si>
  <si>
    <t xml:space="preserve">Briefly explain why the standard deviations of the ultimate losses for </t>
  </si>
  <si>
    <t xml:space="preserve">each of the scenarios below are narrower than the standard deviation of </t>
  </si>
  <si>
    <t xml:space="preserve">the ultimate loss for the loss development method using a curve fit to </t>
  </si>
  <si>
    <t>derive the emerged percentages:</t>
  </si>
  <si>
    <t xml:space="preserve">i. Clark Cape Cod method using a curve fit to derive the emerged </t>
  </si>
  <si>
    <t xml:space="preserve">  percentages.</t>
  </si>
  <si>
    <t xml:space="preserve">ii. Loss development method using weighted averages of the development </t>
  </si>
  <si>
    <t xml:space="preserve">   factors.</t>
  </si>
  <si>
    <t xml:space="preserve">Curves naturally create a tail factor by going from 0% to 100% emergence whereas weighted </t>
  </si>
  <si>
    <t xml:space="preserve">average methods cannot produce factors past the triangles where no data exist.  This tail factor </t>
  </si>
  <si>
    <t>produces a higher mean estimate for the curve-fitting method</t>
  </si>
  <si>
    <t xml:space="preserve">1. Curve-fitting methods are better because they provide estimates of development after the </t>
  </si>
  <si>
    <t>end of available data</t>
  </si>
  <si>
    <t>2. Weighted average methods are better because they are simpler to calculate</t>
  </si>
  <si>
    <t>variability  of ultimate losses</t>
  </si>
  <si>
    <t xml:space="preserve">i. The Clark Cape Cod method uses an exposure base and less parameters which reduces </t>
  </si>
  <si>
    <t xml:space="preserve">ii. The weighted average loss development method ignores volatility in the tail which </t>
  </si>
  <si>
    <t>reduces variability of ultimate losses</t>
  </si>
  <si>
    <t>Cumulative Paid Loss ($000)</t>
  </si>
  <si>
    <t>On-Level 
Premium ($000)</t>
  </si>
  <si>
    <t>1.50 points</t>
  </si>
  <si>
    <t>Ult Loss Rat</t>
  </si>
  <si>
    <t xml:space="preserve">Since the loss ratios are showing an obvious increasing pattern, there does not appear to be a </t>
  </si>
  <si>
    <t>Q #4</t>
  </si>
  <si>
    <t>Given the following data and growth curve as of December 31, 2016:</t>
  </si>
  <si>
    <t>Reported Losses ($000)</t>
  </si>
  <si>
    <t xml:space="preserve">              , where G is the cumulative proportion of ultimate losses reported and x is the</t>
  </si>
  <si>
    <t xml:space="preserve">                average age in months</t>
  </si>
  <si>
    <t>Test for expected loss ratio constancy across accident years.</t>
  </si>
  <si>
    <t>divided by the used-up premium:</t>
  </si>
  <si>
    <t>OLP*Growth</t>
  </si>
  <si>
    <t>constant expected loss ratio across accident years</t>
  </si>
  <si>
    <t>Given the following information as of December 31, 2016:</t>
  </si>
  <si>
    <t>On-Level 
Premium</t>
  </si>
  <si>
    <t>Cumulative Paid Loss</t>
  </si>
  <si>
    <t xml:space="preserve">              , where G is the cumulative proportion of ultimate losses paid and x is the</t>
  </si>
  <si>
    <t>-Parameter standard deviation for Cape Cod method:</t>
  </si>
  <si>
    <t>-Process variance/mean scale parameter (     ) for Cape Cod method:</t>
  </si>
  <si>
    <t>Calculate the total standard deviation of the Cape Cod method's</t>
  </si>
  <si>
    <t>total loss reserve indication.</t>
  </si>
  <si>
    <t>Calculate the total loss reserve by credibility-weighting the two</t>
  </si>
  <si>
    <t>indications from the Cape Cod method and chain ladder method</t>
  </si>
  <si>
    <t>using the Benktander method.</t>
  </si>
  <si>
    <t>Identify and briefly describe a different growth curve form that would</t>
  </si>
  <si>
    <t>be more appropriate to approximate the loss payment pattern for</t>
  </si>
  <si>
    <t>a short-tailed line of business.</t>
  </si>
  <si>
    <t>Calculate the expected loss ratio:</t>
  </si>
  <si>
    <t>Reserve</t>
  </si>
  <si>
    <t>Estimate the reserves as ELR*OLP*(1-Growth):</t>
  </si>
  <si>
    <t>Calculate the total SD:</t>
  </si>
  <si>
    <t>Process Var</t>
  </si>
  <si>
    <t>Parameter Var</t>
  </si>
  <si>
    <t>Cape Cod Reserve</t>
  </si>
  <si>
    <t>CC Reserve</t>
  </si>
  <si>
    <t>CL Reserve</t>
  </si>
  <si>
    <t>Benk Reserve</t>
  </si>
  <si>
    <t>Total Benk Res</t>
  </si>
  <si>
    <t>&lt;-Benk Res = CL Res*Growth + CC Res*(1-Growth)</t>
  </si>
  <si>
    <t xml:space="preserve">The Weibull growth curve would be appropriate for a short-tailed line of business because </t>
  </si>
  <si>
    <t>it has a lighter tail (thus, it terminates sooner) than the Loglogistic curve used in the problem</t>
  </si>
  <si>
    <t>Q #3</t>
  </si>
  <si>
    <t>Given the following information as of December 31, 2015:</t>
  </si>
  <si>
    <t>Fitted Paid Emergence Pattern</t>
  </si>
  <si>
    <t>Cape Cod Method</t>
  </si>
  <si>
    <t>-Process variance/mean scale parameter (     ):</t>
  </si>
  <si>
    <t>-Parameter standard deviation:</t>
  </si>
  <si>
    <t>LDF Method</t>
  </si>
  <si>
    <t>Calculate the total standard deviation of the total loss reserve</t>
  </si>
  <si>
    <t>indication resulting from the Cape Cod method.</t>
  </si>
  <si>
    <t>indication resulting from the LDF method.</t>
  </si>
  <si>
    <t>Explain why      for the LDF method is higher than       for the Cape</t>
  </si>
  <si>
    <t>Cod method.</t>
  </si>
  <si>
    <t>LDF Reserve</t>
  </si>
  <si>
    <t>The sigma^2 refers to the process variance. When calculating sigma^2, we divide by n-p, where</t>
  </si>
  <si>
    <t>p is the number of parameters. Since the LDF requires more parameters, it has a higher sigma^2</t>
  </si>
  <si>
    <t>Paid Losses ($000)</t>
  </si>
  <si>
    <t>-The expected loss ratio (ELR) for this book is:</t>
  </si>
  <si>
    <t>Use the Cape Cod method to calculate the expected unpaid losses for</t>
  </si>
  <si>
    <t>accident year 2013.</t>
  </si>
  <si>
    <t>Evaluate the appropriateness of using the Cape Cod method with a constant</t>
  </si>
  <si>
    <t>ELR for this book of business.</t>
  </si>
  <si>
    <t>AY 2013 Avg. Age</t>
  </si>
  <si>
    <t>&lt;-OLP*ELR*(1-Growth)</t>
  </si>
  <si>
    <t xml:space="preserve">Since the loss ratios are showing an obvious downward trend, there does not appear to be a </t>
  </si>
  <si>
    <t>Q #2</t>
  </si>
  <si>
    <t>Given the following paid claim information as of December 31, 2014:</t>
  </si>
  <si>
    <t>Paid Claims ($000)</t>
  </si>
  <si>
    <t>-The expected paid claim emergence pattern has been approximated by the following</t>
  </si>
  <si>
    <r>
      <t xml:space="preserve">function where </t>
    </r>
    <r>
      <rPr>
        <i/>
        <sz val="12"/>
        <color theme="1"/>
        <rFont val="Calibri"/>
        <family val="2"/>
        <scheme val="minor"/>
      </rPr>
      <t xml:space="preserve">G </t>
    </r>
    <r>
      <rPr>
        <sz val="12"/>
        <color theme="1"/>
        <rFont val="Calibri"/>
        <family val="2"/>
        <scheme val="minor"/>
      </rPr>
      <t xml:space="preserve">is the cumulative proportion of ultimate claims paid and </t>
    </r>
    <r>
      <rPr>
        <i/>
        <sz val="12"/>
        <color theme="1"/>
        <rFont val="Calibri"/>
        <family val="2"/>
        <scheme val="minor"/>
      </rPr>
      <t>x</t>
    </r>
  </si>
  <si>
    <t>represents the average time since accident occurrence in months.</t>
  </si>
  <si>
    <t>-The expected incremental paid claim emergence follows an over-dispersed Poisson</t>
  </si>
  <si>
    <t xml:space="preserve"> distribution with scaling factor</t>
  </si>
  <si>
    <t>-Parameter standard deviation for the total estimated unpaid claims is:</t>
  </si>
  <si>
    <t>Using a truncation point of 10 years, calculate the coefficient of</t>
  </si>
  <si>
    <t>variation of the total unpaid claims using the LDF method,</t>
  </si>
  <si>
    <t>Identify the direction in which the coefficient of variation of the total</t>
  </si>
  <si>
    <t>the unpaid claims estimate where changed from the LDF method to the</t>
  </si>
  <si>
    <t>Cape Cod method, and briefly explain the reason it would change in this</t>
  </si>
  <si>
    <t>direction.</t>
  </si>
  <si>
    <t>Trunc</t>
  </si>
  <si>
    <t>Trunc LDF</t>
  </si>
  <si>
    <t>Total Reserve</t>
  </si>
  <si>
    <t>The CV will be reduced. This is because we are relying on more information like premium</t>
  </si>
  <si>
    <t>or exposure, and this information allows us to make a significantly better estimate</t>
  </si>
  <si>
    <t>of the reserve</t>
  </si>
  <si>
    <t>Actual Incremental Reported Losses ($000)</t>
  </si>
  <si>
    <t>Expected Incremental Reported Losses ($000)</t>
  </si>
  <si>
    <t>The parameters of the loglogistic growth curve (⍵ and θ) and the expected loss ratio (ELR)</t>
  </si>
  <si>
    <t>were previously estimated, resulting in a total estimated reserve of $1,500,000. The</t>
  </si>
  <si>
    <t>parameter standard deviation of the total estimated reserve is $350,000.</t>
  </si>
  <si>
    <t>Calculate the standard deviation of the reserve due to parameter and process variance</t>
  </si>
  <si>
    <t>combined.</t>
  </si>
  <si>
    <t>n</t>
  </si>
  <si>
    <t>&lt;-number of data points</t>
  </si>
  <si>
    <t>p</t>
  </si>
  <si>
    <t>&lt;-number of parameters</t>
  </si>
  <si>
    <t>We need the chi-square error terms:</t>
  </si>
  <si>
    <t>Total chi-square error</t>
  </si>
  <si>
    <t>Sigma^2</t>
  </si>
  <si>
    <t>&lt;-Total Chi-Square Error/(n0p)</t>
  </si>
  <si>
    <t>An insurance company has 1,000 exposures uniformly distributed throughout the accident year. The</t>
  </si>
  <si>
    <t>a priori ultimate loss is $800 per exposure unit.</t>
  </si>
  <si>
    <r>
      <t xml:space="preserve">The expected loss payment pattern is approximated by the following loglogistic function where </t>
    </r>
    <r>
      <rPr>
        <i/>
        <sz val="12"/>
        <color theme="1"/>
        <rFont val="Calibri"/>
        <family val="2"/>
        <scheme val="minor"/>
      </rPr>
      <t>G</t>
    </r>
  </si>
  <si>
    <r>
      <t xml:space="preserve">is the cumulative proportion of ultimate losses paid and </t>
    </r>
    <r>
      <rPr>
        <i/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 xml:space="preserve"> represents the average age of reported</t>
    </r>
  </si>
  <si>
    <t>losses in months:</t>
  </si>
  <si>
    <t>- ⍵ =</t>
  </si>
  <si>
    <t>- θ =</t>
  </si>
  <si>
    <t>Calculate the expected losses paid in the first 36 months after the</t>
  </si>
  <si>
    <t>beginning of the accident year.</t>
  </si>
  <si>
    <t>Assume the actual cumulative paid losses at 36 months after the</t>
  </si>
  <si>
    <t>beginning of the accident year are $650,000. Estimate the ultimate</t>
  </si>
  <si>
    <t>0,50 points</t>
  </si>
  <si>
    <t>Estimate the ultimate loss for the accident year based on the loglogistic</t>
  </si>
  <si>
    <t>payment model and the actual payments through 36 months, disregarding</t>
  </si>
  <si>
    <t>the a priori expectation.</t>
  </si>
  <si>
    <t>d.</t>
  </si>
  <si>
    <t>Calculate a reserve estimate for the accident year by credibility-weighting</t>
  </si>
  <si>
    <t>the two estimates of ultimate in parts b. and c. above using the Benktander</t>
  </si>
  <si>
    <t>&lt;-1000 exposures*$800 per exposure*growth</t>
  </si>
  <si>
    <t>Ult. Loss</t>
  </si>
  <si>
    <t>In my opinion, this is more like a BF ultimate loss rather than a Cape Cod ultimate</t>
  </si>
  <si>
    <t>Part d:</t>
  </si>
  <si>
    <t>&lt;-CL Ult*Growth + (1-Growth)*Cape Cod Ult</t>
  </si>
  <si>
    <t>loss for the accident year using assumptions based upon the Cape Cod</t>
  </si>
  <si>
    <t xml:space="preserve">since we are using an a priori. Regardless, this is what they were looking for. Plus, </t>
  </si>
  <si>
    <t>does talk about using exposure bases other than premium for the Cape Cod</t>
  </si>
  <si>
    <t>Given the following information:</t>
  </si>
  <si>
    <t>The expected accident year loss emergence pattern (growth function) is approximated by</t>
  </si>
  <si>
    <t>a Weibull function with the following form and parameters:</t>
  </si>
  <si>
    <t>3.00 points</t>
  </si>
  <si>
    <t>Calculate the process standard deviation of the reserve estimate for</t>
  </si>
  <si>
    <t>accident years 2010 through 2012 using the LDF method.</t>
  </si>
  <si>
    <t>Calculate the normalized residuals for all six data cells in the triangle</t>
  </si>
  <si>
    <t>above.</t>
  </si>
  <si>
    <t>Note: I modified part b. above since the original problem asked you to</t>
  </si>
  <si>
    <t>create a graph. Know how to interpret residual plots from Clark.</t>
  </si>
  <si>
    <t>Calculate the reserves:</t>
  </si>
  <si>
    <t>Calculate sigma^2:</t>
  </si>
  <si>
    <t>First, we calculate the fitted incremental claims by applying the growth % to the ultimate loss and taking the increments:</t>
  </si>
  <si>
    <t>Calculate the chi-square error terms as (actual incr - fitted incr)^2/(fitted incr)</t>
  </si>
  <si>
    <t>sigma^2</t>
  </si>
  <si>
    <t>&lt;-Total chi-square error/(n-p)</t>
  </si>
  <si>
    <t>Process SD</t>
  </si>
  <si>
    <t>Spring 2012</t>
  </si>
  <si>
    <t>Estimate the total loss reserve using the Cape Cod method.</t>
  </si>
  <si>
    <t>Calculate the process standard deviation of the reserve estimate</t>
  </si>
  <si>
    <t>in part a. above.</t>
  </si>
  <si>
    <t>Calculate the total standard deviation and the coefficient of variation</t>
  </si>
  <si>
    <t>of the reserve estimate.</t>
  </si>
  <si>
    <t>Given the following information as of December 31, 2011:</t>
  </si>
  <si>
    <t>Spring 2011</t>
  </si>
  <si>
    <t>Reported Losses</t>
  </si>
  <si>
    <t>-The expected accident year loss emergence pattern (growth function) can be approximated</t>
  </si>
  <si>
    <t xml:space="preserve"> by a loglogistic function of the form:</t>
  </si>
  <si>
    <r>
      <t xml:space="preserve"> where </t>
    </r>
    <r>
      <rPr>
        <i/>
        <sz val="12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 xml:space="preserve"> denotes time in months from the average accident date to the evaluation date, and</t>
    </r>
  </si>
  <si>
    <r>
      <t xml:space="preserve"> </t>
    </r>
    <r>
      <rPr>
        <i/>
        <sz val="12"/>
        <color theme="1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 xml:space="preserve"> is the growth function describing cumulative percent reported</t>
    </r>
  </si>
  <si>
    <t>-The maximum likelihood estimates of the parameters are:</t>
  </si>
  <si>
    <t>-The actual incremental loss emergence follows an over-dispersed Poisson distribution with scaling</t>
  </si>
  <si>
    <t xml:space="preserve"> factor </t>
  </si>
  <si>
    <t>Using a truncation point of five years, estimate the total unpaid claims</t>
  </si>
  <si>
    <t>using the Cape Cod method.</t>
  </si>
  <si>
    <t>Given the following information as of December 31, 2010:</t>
  </si>
  <si>
    <t>Trunc. Unpaid</t>
  </si>
  <si>
    <t>&lt;-ELR*OLP*Trunc Unpaid</t>
  </si>
  <si>
    <t>Param Var</t>
  </si>
  <si>
    <t>-The expected loss payment pattern follows a loglogistic curve of the form             , where:</t>
  </si>
  <si>
    <t>We need to calculate the ultimate loss ratios, where ultimate loss ratio is equal to reported losses</t>
  </si>
  <si>
    <t>unpaid claims estimate would change if the method used to calculate</t>
  </si>
  <si>
    <t>Given the following data for a Cape Cod reserve analysis:</t>
  </si>
  <si>
    <t>Calculate the coefficient of variation of the total unpaid claims estimated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</si>
</sst>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5" formatCode="_(* #,##0_);_(* \(#,##0\);_(* &quot;-&quot;??_);_(@_)"/>
    <numFmt numFmtId="166" formatCode="_(* #,##0.0000_);_(* \(#,##0.0000\);_(* &quot;-&quot;??_);_(@_)"/>
    <numFmt numFmtId="168" formatCode="0.0000"/>
    <numFmt numFmtId="169" formatCode="&quot;$&quot;#,##0.0000_);[Red]\(&quot;$&quot;#,##0.0000\)"/>
    <numFmt numFmtId="170" formatCode="0.0%"/>
    <numFmt numFmtId="171" formatCode="#,##0.000"/>
    <numFmt numFmtId="173" formatCode="&quot;$&quot;#,##0"/>
    <numFmt numFmtId="178" formatCode="_(* #,##0.000_);_(* \(#,##0.000\);_(* &quot;-&quot;??_);_(@_)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quotePrefix="1"/>
    <xf numFmtId="2" fontId="1" fillId="0" borderId="0" xfId="0" applyNumberFormat="1" applyFont="1" applyAlignment="1">
      <alignment horizontal="center"/>
    </xf>
    <xf numFmtId="0" fontId="0" fillId="0" borderId="0" xfId="0" applyFont="1"/>
    <xf numFmtId="3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6" fontId="0" fillId="0" borderId="0" xfId="0" applyNumberFormat="1"/>
    <xf numFmtId="6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1" applyNumberFormat="1" applyFon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6" fontId="0" fillId="0" borderId="0" xfId="0" applyNumberFormat="1" applyFont="1"/>
    <xf numFmtId="0" fontId="0" fillId="0" borderId="8" xfId="0" applyBorder="1" applyAlignment="1">
      <alignment horizontal="center"/>
    </xf>
    <xf numFmtId="166" fontId="1" fillId="0" borderId="0" xfId="1" applyNumberFormat="1" applyFont="1"/>
    <xf numFmtId="3" fontId="0" fillId="0" borderId="8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quotePrefix="1" applyFont="1"/>
    <xf numFmtId="9" fontId="0" fillId="0" borderId="0" xfId="0" applyNumberFormat="1"/>
    <xf numFmtId="3" fontId="0" fillId="0" borderId="0" xfId="0" applyNumberFormat="1"/>
    <xf numFmtId="9" fontId="0" fillId="0" borderId="0" xfId="0" applyNumberFormat="1" applyAlignment="1">
      <alignment horizontal="center"/>
    </xf>
    <xf numFmtId="169" fontId="0" fillId="0" borderId="0" xfId="0" applyNumberFormat="1"/>
    <xf numFmtId="8" fontId="0" fillId="0" borderId="0" xfId="0" applyNumberFormat="1"/>
    <xf numFmtId="170" fontId="0" fillId="0" borderId="0" xfId="2" applyNumberFormat="1" applyFont="1"/>
    <xf numFmtId="170" fontId="1" fillId="0" borderId="0" xfId="2" applyNumberFormat="1" applyFont="1"/>
    <xf numFmtId="171" fontId="0" fillId="0" borderId="0" xfId="0" applyNumberFormat="1" applyAlignment="1">
      <alignment horizontal="center"/>
    </xf>
    <xf numFmtId="8" fontId="1" fillId="0" borderId="0" xfId="0" applyNumberFormat="1" applyFont="1"/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173" fontId="0" fillId="0" borderId="0" xfId="0" applyNumberFormat="1" applyBorder="1" applyAlignment="1">
      <alignment horizontal="center"/>
    </xf>
    <xf numFmtId="173" fontId="0" fillId="0" borderId="5" xfId="0" applyNumberFormat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173" fontId="0" fillId="0" borderId="7" xfId="0" applyNumberFormat="1" applyBorder="1" applyAlignment="1">
      <alignment horizontal="center"/>
    </xf>
    <xf numFmtId="165" fontId="1" fillId="0" borderId="0" xfId="1" applyNumberFormat="1" applyFont="1"/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9" fontId="0" fillId="0" borderId="5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3" fillId="0" borderId="0" xfId="0" quotePrefix="1" applyFont="1"/>
    <xf numFmtId="165" fontId="2" fillId="0" borderId="0" xfId="1" applyNumberFormat="1" applyFont="1"/>
    <xf numFmtId="3" fontId="0" fillId="0" borderId="0" xfId="0" applyNumberFormat="1" applyFont="1"/>
    <xf numFmtId="170" fontId="0" fillId="0" borderId="0" xfId="0" applyNumberFormat="1" applyAlignment="1">
      <alignment horizontal="center"/>
    </xf>
    <xf numFmtId="3" fontId="1" fillId="0" borderId="0" xfId="0" applyNumberFormat="1" applyFont="1"/>
    <xf numFmtId="3" fontId="0" fillId="0" borderId="12" xfId="0" applyNumberFormat="1" applyBorder="1" applyAlignment="1">
      <alignment horizontal="center"/>
    </xf>
    <xf numFmtId="10" fontId="1" fillId="0" borderId="0" xfId="2" applyNumberFormat="1" applyFont="1"/>
    <xf numFmtId="0" fontId="4" fillId="0" borderId="0" xfId="0" applyFont="1"/>
    <xf numFmtId="43" fontId="0" fillId="0" borderId="0" xfId="0" applyNumberFormat="1"/>
    <xf numFmtId="43" fontId="1" fillId="0" borderId="0" xfId="0" applyNumberFormat="1" applyFont="1"/>
    <xf numFmtId="178" fontId="1" fillId="0" borderId="0" xfId="1" applyNumberFormat="1" applyFont="1"/>
    <xf numFmtId="173" fontId="0" fillId="0" borderId="1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8" fontId="2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133350</xdr:colOff>
      <xdr:row>11</xdr:row>
      <xdr:rowOff>165100</xdr:rowOff>
    </xdr:from>
    <xdr:ext cx="387478" cy="42537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AA01627-C4E7-FD47-81CD-CBF80F5A65B0}"/>
                </a:ext>
              </a:extLst>
            </xdr:cNvPr>
            <xdr:cNvSpPr txBox="1"/>
          </xdr:nvSpPr>
          <xdr:spPr>
            <a:xfrm>
              <a:off x="4781550" y="2400300"/>
              <a:ext cx="387478" cy="4253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US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p>
                        <m:sSup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  <m:sup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⍵</m:t>
                          </m:r>
                        </m:sup>
                      </m:sSup>
                    </m:num>
                    <m:den>
                      <m:sSup>
                        <m:sSup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  <m:sup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⍵</m:t>
                          </m:r>
                        </m:sup>
                      </m:sSup>
                      <m:r>
                        <a:rPr lang="en-US" sz="1100" b="0" i="1">
                          <a:latin typeface="Cambria Math" panose="02040503050406030204" pitchFamily="18" charset="0"/>
                        </a:rPr>
                        <m:t>+</m:t>
                      </m:r>
                      <m:sSup>
                        <m:sSup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𝜃</m:t>
                          </m:r>
                        </m:e>
                        <m:sup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⍵</m:t>
                          </m:r>
                        </m:sup>
                      </m:sSup>
                    </m:den>
                  </m:f>
                </m:oMath>
              </a14:m>
              <a:r>
                <a:rPr lang="en-US" sz="1100"/>
                <a:t>-</a:t>
              </a:r>
            </a:p>
            <a:p>
              <a:endParaRPr lang="en-US" sz="11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AA01627-C4E7-FD47-81CD-CBF80F5A65B0}"/>
                </a:ext>
              </a:extLst>
            </xdr:cNvPr>
            <xdr:cNvSpPr txBox="1"/>
          </xdr:nvSpPr>
          <xdr:spPr>
            <a:xfrm>
              <a:off x="4781550" y="2400300"/>
              <a:ext cx="387478" cy="42537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𝑥^⍵/(𝑥^⍵+𝜃^⍵ )</a:t>
              </a:r>
              <a:r>
                <a:rPr lang="en-US" sz="1100"/>
                <a:t>-</a:t>
              </a:r>
            </a:p>
            <a:p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615950</xdr:colOff>
      <xdr:row>19</xdr:row>
      <xdr:rowOff>38100</xdr:rowOff>
    </xdr:from>
    <xdr:ext cx="188065" cy="17536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D5B382E-5555-7547-9798-83692AFBCB11}"/>
                </a:ext>
              </a:extLst>
            </xdr:cNvPr>
            <xdr:cNvSpPr txBox="1"/>
          </xdr:nvSpPr>
          <xdr:spPr>
            <a:xfrm>
              <a:off x="1441450" y="3898900"/>
              <a:ext cx="18806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𝜎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D5B382E-5555-7547-9798-83692AFBCB11}"/>
                </a:ext>
              </a:extLst>
            </xdr:cNvPr>
            <xdr:cNvSpPr txBox="1"/>
          </xdr:nvSpPr>
          <xdr:spPr>
            <a:xfrm>
              <a:off x="1441450" y="3898900"/>
              <a:ext cx="18806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𝜎^2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482600</xdr:colOff>
      <xdr:row>26</xdr:row>
      <xdr:rowOff>25400</xdr:rowOff>
    </xdr:from>
    <xdr:ext cx="332655" cy="17536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69A8CB9D-5F01-6B4F-B0A2-FA6B81D5F2F5}"/>
                </a:ext>
              </a:extLst>
            </xdr:cNvPr>
            <xdr:cNvSpPr txBox="1"/>
          </xdr:nvSpPr>
          <xdr:spPr>
            <a:xfrm>
              <a:off x="482600" y="5308600"/>
              <a:ext cx="33265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𝜎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69A8CB9D-5F01-6B4F-B0A2-FA6B81D5F2F5}"/>
                </a:ext>
              </a:extLst>
            </xdr:cNvPr>
            <xdr:cNvSpPr txBox="1"/>
          </xdr:nvSpPr>
          <xdr:spPr>
            <a:xfrm>
              <a:off x="482600" y="5308600"/>
              <a:ext cx="33265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𝜎^2=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965200</xdr:colOff>
      <xdr:row>16</xdr:row>
      <xdr:rowOff>88900</xdr:rowOff>
    </xdr:from>
    <xdr:ext cx="713913" cy="25314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E2B88778-B182-E54A-84C2-20F1ADC28F8C}"/>
                </a:ext>
              </a:extLst>
            </xdr:cNvPr>
            <xdr:cNvSpPr txBox="1"/>
          </xdr:nvSpPr>
          <xdr:spPr>
            <a:xfrm>
              <a:off x="1790700" y="3340100"/>
              <a:ext cx="713913" cy="2531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/>
                <a:t>G(x)</a:t>
              </a:r>
              <a:r>
                <a:rPr lang="en-US" sz="1100" b="0" baseline="0"/>
                <a:t> </a:t>
              </a:r>
              <a:r>
                <a:rPr lang="en-US" sz="1100" b="0"/>
                <a:t>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p>
                        <m:sSup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  <m:sup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⍵</m:t>
                          </m:r>
                        </m:sup>
                      </m:sSup>
                    </m:num>
                    <m:den>
                      <m:sSup>
                        <m:sSup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  <m:sup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⍵</m:t>
                          </m:r>
                        </m:sup>
                      </m:sSup>
                      <m:r>
                        <a:rPr lang="en-US" sz="1100" b="0" i="1">
                          <a:latin typeface="Cambria Math" panose="02040503050406030204" pitchFamily="18" charset="0"/>
                        </a:rPr>
                        <m:t>+</m:t>
                      </m:r>
                      <m:sSup>
                        <m:sSup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𝜃</m:t>
                          </m:r>
                        </m:e>
                        <m:sup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⍵</m:t>
                          </m:r>
                        </m:sup>
                      </m:sSup>
                    </m:den>
                  </m:f>
                </m:oMath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E2B88778-B182-E54A-84C2-20F1ADC28F8C}"/>
                </a:ext>
              </a:extLst>
            </xdr:cNvPr>
            <xdr:cNvSpPr txBox="1"/>
          </xdr:nvSpPr>
          <xdr:spPr>
            <a:xfrm>
              <a:off x="1790700" y="3340100"/>
              <a:ext cx="713913" cy="2531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/>
                <a:t>G(x)</a:t>
              </a:r>
              <a:r>
                <a:rPr lang="en-US" sz="1100" b="0" baseline="0"/>
                <a:t> </a:t>
              </a:r>
              <a:r>
                <a:rPr lang="en-US" sz="1100" b="0"/>
                <a:t>= </a:t>
              </a:r>
              <a:r>
                <a:rPr lang="en-US" sz="1100" b="0" i="0">
                  <a:latin typeface="Cambria Math" panose="02040503050406030204" pitchFamily="18" charset="0"/>
                </a:rPr>
                <a:t>𝑥^⍵/(𝑥^⍵+𝜃^⍵ )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13</xdr:row>
      <xdr:rowOff>177800</xdr:rowOff>
    </xdr:from>
    <xdr:ext cx="1200457" cy="34253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B603961-7F57-084D-BD89-98281C6BA212}"/>
                </a:ext>
              </a:extLst>
            </xdr:cNvPr>
            <xdr:cNvSpPr txBox="1"/>
          </xdr:nvSpPr>
          <xdr:spPr>
            <a:xfrm>
              <a:off x="158750" y="2819400"/>
              <a:ext cx="1200457" cy="3425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𝐺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p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1.8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p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1.8</m:t>
                            </m:r>
                          </m:sup>
                        </m:s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+</m:t>
                        </m:r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50</m:t>
                            </m:r>
                          </m:e>
                          <m:sup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1.8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B603961-7F57-084D-BD89-98281C6BA212}"/>
                </a:ext>
              </a:extLst>
            </xdr:cNvPr>
            <xdr:cNvSpPr txBox="1"/>
          </xdr:nvSpPr>
          <xdr:spPr>
            <a:xfrm>
              <a:off x="158750" y="2819400"/>
              <a:ext cx="1200457" cy="3425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𝐺(𝑥)=𝑥^1.8/(𝑥^1.8+50^1.8 )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11</xdr:row>
      <xdr:rowOff>177800</xdr:rowOff>
    </xdr:from>
    <xdr:ext cx="1200457" cy="34490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BF15E5EE-DF77-514D-A898-DE10A1AF1479}"/>
                </a:ext>
              </a:extLst>
            </xdr:cNvPr>
            <xdr:cNvSpPr txBox="1"/>
          </xdr:nvSpPr>
          <xdr:spPr>
            <a:xfrm>
              <a:off x="158750" y="2413000"/>
              <a:ext cx="1200457" cy="3449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𝐺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p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1.5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p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1.5</m:t>
                            </m:r>
                          </m:sup>
                        </m:s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+</m:t>
                        </m:r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15</m:t>
                            </m:r>
                          </m:e>
                          <m:sup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1.5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BF15E5EE-DF77-514D-A898-DE10A1AF1479}"/>
                </a:ext>
              </a:extLst>
            </xdr:cNvPr>
            <xdr:cNvSpPr txBox="1"/>
          </xdr:nvSpPr>
          <xdr:spPr>
            <a:xfrm>
              <a:off x="158750" y="2413000"/>
              <a:ext cx="1200457" cy="3449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𝐺(𝑥)=𝑥^1.5/(𝑥^1.5+15^1.5 )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584200</xdr:colOff>
      <xdr:row>16</xdr:row>
      <xdr:rowOff>38100</xdr:rowOff>
    </xdr:from>
    <xdr:ext cx="188065" cy="17536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8B820F9-3418-EC43-8964-B2C7FEABF592}"/>
                </a:ext>
              </a:extLst>
            </xdr:cNvPr>
            <xdr:cNvSpPr txBox="1"/>
          </xdr:nvSpPr>
          <xdr:spPr>
            <a:xfrm>
              <a:off x="2679700" y="3289300"/>
              <a:ext cx="18806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𝜎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8B820F9-3418-EC43-8964-B2C7FEABF592}"/>
                </a:ext>
              </a:extLst>
            </xdr:cNvPr>
            <xdr:cNvSpPr txBox="1"/>
          </xdr:nvSpPr>
          <xdr:spPr>
            <a:xfrm>
              <a:off x="2679700" y="3289300"/>
              <a:ext cx="18806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𝜎^2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584200</xdr:colOff>
      <xdr:row>19</xdr:row>
      <xdr:rowOff>38100</xdr:rowOff>
    </xdr:from>
    <xdr:ext cx="188065" cy="17536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B2F1F8D6-4EF4-BA49-B64B-09AE69559FA7}"/>
                </a:ext>
              </a:extLst>
            </xdr:cNvPr>
            <xdr:cNvSpPr txBox="1"/>
          </xdr:nvSpPr>
          <xdr:spPr>
            <a:xfrm>
              <a:off x="2679700" y="3289300"/>
              <a:ext cx="18806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𝜎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B2F1F8D6-4EF4-BA49-B64B-09AE69559FA7}"/>
                </a:ext>
              </a:extLst>
            </xdr:cNvPr>
            <xdr:cNvSpPr txBox="1"/>
          </xdr:nvSpPr>
          <xdr:spPr>
            <a:xfrm>
              <a:off x="2679700" y="3289300"/>
              <a:ext cx="18806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𝜎^2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584200</xdr:colOff>
      <xdr:row>15</xdr:row>
      <xdr:rowOff>25400</xdr:rowOff>
    </xdr:from>
    <xdr:ext cx="188065" cy="17536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4E8AB508-DED3-1F46-BE6A-4D62E96D96FD}"/>
                </a:ext>
              </a:extLst>
            </xdr:cNvPr>
            <xdr:cNvSpPr txBox="1"/>
          </xdr:nvSpPr>
          <xdr:spPr>
            <a:xfrm>
              <a:off x="2679700" y="3073400"/>
              <a:ext cx="18806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𝜎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4E8AB508-DED3-1F46-BE6A-4D62E96D96FD}"/>
                </a:ext>
              </a:extLst>
            </xdr:cNvPr>
            <xdr:cNvSpPr txBox="1"/>
          </xdr:nvSpPr>
          <xdr:spPr>
            <a:xfrm>
              <a:off x="2679700" y="3073400"/>
              <a:ext cx="18806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𝜎^2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800100</xdr:colOff>
      <xdr:row>27</xdr:row>
      <xdr:rowOff>25400</xdr:rowOff>
    </xdr:from>
    <xdr:ext cx="188065" cy="17536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F831A513-73DF-2642-BA5A-9B59F4694185}"/>
                </a:ext>
              </a:extLst>
            </xdr:cNvPr>
            <xdr:cNvSpPr txBox="1"/>
          </xdr:nvSpPr>
          <xdr:spPr>
            <a:xfrm>
              <a:off x="2895600" y="5511800"/>
              <a:ext cx="18806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𝜎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F831A513-73DF-2642-BA5A-9B59F4694185}"/>
                </a:ext>
              </a:extLst>
            </xdr:cNvPr>
            <xdr:cNvSpPr txBox="1"/>
          </xdr:nvSpPr>
          <xdr:spPr>
            <a:xfrm>
              <a:off x="2895600" y="5511800"/>
              <a:ext cx="18806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𝜎^2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495300</xdr:colOff>
      <xdr:row>27</xdr:row>
      <xdr:rowOff>25400</xdr:rowOff>
    </xdr:from>
    <xdr:ext cx="188065" cy="17536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8B27C562-D752-294A-9442-81F9CE1D454B}"/>
                </a:ext>
              </a:extLst>
            </xdr:cNvPr>
            <xdr:cNvSpPr txBox="1"/>
          </xdr:nvSpPr>
          <xdr:spPr>
            <a:xfrm>
              <a:off x="5232400" y="5511800"/>
              <a:ext cx="18806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𝜎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8B27C562-D752-294A-9442-81F9CE1D454B}"/>
                </a:ext>
              </a:extLst>
            </xdr:cNvPr>
            <xdr:cNvSpPr txBox="1"/>
          </xdr:nvSpPr>
          <xdr:spPr>
            <a:xfrm>
              <a:off x="5232400" y="5511800"/>
              <a:ext cx="18806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𝜎^2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12</xdr:row>
      <xdr:rowOff>177800</xdr:rowOff>
    </xdr:from>
    <xdr:ext cx="1229376" cy="34214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7AB4627C-2381-8844-9AF7-37BE2F55462A}"/>
                </a:ext>
              </a:extLst>
            </xdr:cNvPr>
            <xdr:cNvSpPr txBox="1"/>
          </xdr:nvSpPr>
          <xdr:spPr>
            <a:xfrm>
              <a:off x="158750" y="2616200"/>
              <a:ext cx="1229376" cy="3421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𝐺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p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1.1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p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1.1</m:t>
                            </m:r>
                          </m:sup>
                        </m:s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+</m:t>
                        </m:r>
                        <m:sSup>
                          <m:sSup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8.0</m:t>
                            </m:r>
                          </m:e>
                          <m:sup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1.1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7AB4627C-2381-8844-9AF7-37BE2F55462A}"/>
                </a:ext>
              </a:extLst>
            </xdr:cNvPr>
            <xdr:cNvSpPr txBox="1"/>
          </xdr:nvSpPr>
          <xdr:spPr>
            <a:xfrm>
              <a:off x="158750" y="2616200"/>
              <a:ext cx="1229376" cy="3421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𝐺(𝑥)=𝑥^1.1/(𝑥^1.1+〖8.0〗^1.1 )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996950</xdr:colOff>
      <xdr:row>17</xdr:row>
      <xdr:rowOff>76200</xdr:rowOff>
    </xdr:from>
    <xdr:ext cx="910890" cy="29270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F9F5FA6-972F-E84F-9FF8-2819CE8C49B2}"/>
                </a:ext>
              </a:extLst>
            </xdr:cNvPr>
            <xdr:cNvSpPr txBox="1"/>
          </xdr:nvSpPr>
          <xdr:spPr>
            <a:xfrm>
              <a:off x="1822450" y="3530600"/>
              <a:ext cx="910890" cy="2927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𝐺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num>
                      <m:den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+10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F9F5FA6-972F-E84F-9FF8-2819CE8C49B2}"/>
                </a:ext>
              </a:extLst>
            </xdr:cNvPr>
            <xdr:cNvSpPr txBox="1"/>
          </xdr:nvSpPr>
          <xdr:spPr>
            <a:xfrm>
              <a:off x="1822450" y="3530600"/>
              <a:ext cx="910890" cy="2927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𝐺(𝑥)=𝑥/(𝑥+10)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1168400</xdr:colOff>
      <xdr:row>20</xdr:row>
      <xdr:rowOff>25400</xdr:rowOff>
    </xdr:from>
    <xdr:ext cx="226472" cy="17536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670ED572-A6A2-F844-92A2-40B4204CCAD8}"/>
                </a:ext>
              </a:extLst>
            </xdr:cNvPr>
            <xdr:cNvSpPr txBox="1"/>
          </xdr:nvSpPr>
          <xdr:spPr>
            <a:xfrm>
              <a:off x="1993900" y="4089400"/>
              <a:ext cx="226472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n-US" sz="1100" b="0" i="1">
                          <a:latin typeface="Cambria Math" panose="02040503050406030204" pitchFamily="18" charset="0"/>
                        </a:rPr>
                      </m:ctrlPr>
                    </m:sSupPr>
                    <m:e>
                      <m:r>
                        <a:rPr lang="en-US" sz="1100" b="0" i="1">
                          <a:latin typeface="Cambria Math" panose="02040503050406030204" pitchFamily="18" charset="0"/>
                        </a:rPr>
                        <m:t>𝜎</m:t>
                      </m:r>
                    </m:e>
                    <m:sup>
                      <m:r>
                        <a:rPr lang="en-US" sz="1100" b="0" i="1">
                          <a:latin typeface="Cambria Math" panose="02040503050406030204" pitchFamily="18" charset="0"/>
                        </a:rPr>
                        <m:t>2</m:t>
                      </m:r>
                    </m:sup>
                  </m:sSup>
                </m:oMath>
              </a14:m>
              <a:r>
                <a:rPr lang="en-US" sz="1100"/>
                <a:t>=</a:t>
              </a:r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670ED572-A6A2-F844-92A2-40B4204CCAD8}"/>
                </a:ext>
              </a:extLst>
            </xdr:cNvPr>
            <xdr:cNvSpPr txBox="1"/>
          </xdr:nvSpPr>
          <xdr:spPr>
            <a:xfrm>
              <a:off x="1993900" y="4089400"/>
              <a:ext cx="226472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𝜎^2</a:t>
              </a:r>
              <a:r>
                <a:rPr lang="en-US" sz="1100"/>
                <a:t>=</a:t>
              </a:r>
            </a:p>
          </xdr:txBody>
        </xdr:sp>
      </mc:Fallback>
    </mc:AlternateContent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10</xdr:row>
      <xdr:rowOff>0</xdr:rowOff>
    </xdr:from>
    <xdr:ext cx="713913" cy="25314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FC1A5109-9CCF-C44A-8921-C821AA8F93FA}"/>
                </a:ext>
              </a:extLst>
            </xdr:cNvPr>
            <xdr:cNvSpPr txBox="1"/>
          </xdr:nvSpPr>
          <xdr:spPr>
            <a:xfrm>
              <a:off x="114300" y="2032000"/>
              <a:ext cx="713913" cy="2531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/>
                <a:t>G(x)</a:t>
              </a:r>
              <a:r>
                <a:rPr lang="en-US" sz="1100" b="0" baseline="0"/>
                <a:t> </a:t>
              </a:r>
              <a:r>
                <a:rPr lang="en-US" sz="1100" b="0"/>
                <a:t>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sSup>
                        <m:sSup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  <m:sup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⍵</m:t>
                          </m:r>
                        </m:sup>
                      </m:sSup>
                    </m:num>
                    <m:den>
                      <m:sSup>
                        <m:sSup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𝑥</m:t>
                          </m:r>
                        </m:e>
                        <m:sup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⍵</m:t>
                          </m:r>
                        </m:sup>
                      </m:sSup>
                      <m:r>
                        <a:rPr lang="en-US" sz="1100" b="0" i="1">
                          <a:latin typeface="Cambria Math" panose="02040503050406030204" pitchFamily="18" charset="0"/>
                        </a:rPr>
                        <m:t>+</m:t>
                      </m:r>
                      <m:sSup>
                        <m:sSupPr>
                          <m:ctrlPr>
                            <a:rPr lang="en-US" sz="1100" b="0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𝜃</m:t>
                          </m:r>
                        </m:e>
                        <m:sup>
                          <m:r>
                            <a:rPr lang="en-US" sz="1100" b="0" i="1">
                              <a:latin typeface="Cambria Math" panose="02040503050406030204" pitchFamily="18" charset="0"/>
                            </a:rPr>
                            <m:t>⍵</m:t>
                          </m:r>
                        </m:sup>
                      </m:sSup>
                    </m:den>
                  </m:f>
                </m:oMath>
              </a14:m>
              <a:endParaRPr lang="en-US" sz="11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FC1A5109-9CCF-C44A-8921-C821AA8F93FA}"/>
                </a:ext>
              </a:extLst>
            </xdr:cNvPr>
            <xdr:cNvSpPr txBox="1"/>
          </xdr:nvSpPr>
          <xdr:spPr>
            <a:xfrm>
              <a:off x="114300" y="2032000"/>
              <a:ext cx="713913" cy="2531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/>
                <a:t>G(x)</a:t>
              </a:r>
              <a:r>
                <a:rPr lang="en-US" sz="1100" b="0" baseline="0"/>
                <a:t> </a:t>
              </a:r>
              <a:r>
                <a:rPr lang="en-US" sz="1100" b="0"/>
                <a:t>= </a:t>
              </a:r>
              <a:r>
                <a:rPr lang="en-US" sz="1100" b="0" i="0">
                  <a:latin typeface="Cambria Math" panose="02040503050406030204" pitchFamily="18" charset="0"/>
                </a:rPr>
                <a:t>𝑥^⍵/(𝑥^⍵+𝜃^⍵ )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13</xdr:row>
      <xdr:rowOff>139700</xdr:rowOff>
    </xdr:from>
    <xdr:ext cx="1595116" cy="3109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961ABCAD-E511-C64C-89C4-F9B05794C022}"/>
                </a:ext>
              </a:extLst>
            </xdr:cNvPr>
            <xdr:cNvSpPr txBox="1"/>
          </xdr:nvSpPr>
          <xdr:spPr>
            <a:xfrm>
              <a:off x="958850" y="2781300"/>
              <a:ext cx="1595116" cy="3109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𝐺</m:t>
                    </m:r>
                    <m:d>
                      <m:d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100" b="0" i="1">
                        <a:latin typeface="Cambria Math" panose="02040503050406030204" pitchFamily="18" charset="0"/>
                      </a:rPr>
                      <m:t>=1−</m:t>
                    </m:r>
                    <m:func>
                      <m:func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r>
                          <m:rPr>
                            <m:sty m:val="p"/>
                          </m:rPr>
                          <a:rPr lang="en-US" sz="1100" b="0" i="0">
                            <a:latin typeface="Cambria Math" panose="02040503050406030204" pitchFamily="18" charset="0"/>
                          </a:rPr>
                          <m:t>exp</m:t>
                        </m:r>
                      </m:fName>
                      <m:e>
                        <m:d>
                          <m:d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p>
                              <m:sSup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11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en-US" sz="11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en-US" sz="1100" b="0" i="1"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</m:num>
                                      <m:den>
                                        <m:r>
                                          <a:rPr lang="en-US" sz="1100" b="0" i="1">
                                            <a:latin typeface="Cambria Math" panose="02040503050406030204" pitchFamily="18" charset="0"/>
                                          </a:rPr>
                                          <m:t>𝜃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⍵</m:t>
                                </m:r>
                              </m:sup>
                            </m:sSup>
                          </m:e>
                        </m:d>
                      </m:e>
                    </m:func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961ABCAD-E511-C64C-89C4-F9B05794C022}"/>
                </a:ext>
              </a:extLst>
            </xdr:cNvPr>
            <xdr:cNvSpPr txBox="1"/>
          </xdr:nvSpPr>
          <xdr:spPr>
            <a:xfrm>
              <a:off x="958850" y="2781300"/>
              <a:ext cx="1595116" cy="3109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𝐺(𝑥)=1−exp⁡(−(𝑥/𝜃)^⍵ )  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584200</xdr:colOff>
      <xdr:row>14</xdr:row>
      <xdr:rowOff>25400</xdr:rowOff>
    </xdr:from>
    <xdr:ext cx="188065" cy="17536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AE7F868-05D7-104F-A5D8-3EBBD8D2D7EB}"/>
                </a:ext>
              </a:extLst>
            </xdr:cNvPr>
            <xdr:cNvSpPr txBox="1"/>
          </xdr:nvSpPr>
          <xdr:spPr>
            <a:xfrm>
              <a:off x="2679700" y="3073400"/>
              <a:ext cx="18806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𝜎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AE7F868-05D7-104F-A5D8-3EBBD8D2D7EB}"/>
                </a:ext>
              </a:extLst>
            </xdr:cNvPr>
            <xdr:cNvSpPr txBox="1"/>
          </xdr:nvSpPr>
          <xdr:spPr>
            <a:xfrm>
              <a:off x="2679700" y="3073400"/>
              <a:ext cx="18806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𝜎^2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workbookViewId="0"/>
  </sheetViews>
  <sheetFormatPr baseColWidth="10" defaultRowHeight="16" outlineLevelCol="1" x14ac:dyDescent="0.2"/>
  <cols>
    <col min="2" max="2" width="13.83203125" bestFit="1" customWidth="1"/>
    <col min="4" max="4" width="11.83203125" bestFit="1" customWidth="1"/>
    <col min="5" max="5" width="8.1640625" customWidth="1"/>
    <col min="7" max="7" width="11.5" customWidth="1"/>
    <col min="11" max="11" width="13.6640625" hidden="1" customWidth="1" outlineLevel="1"/>
    <col min="12" max="12" width="21" hidden="1" customWidth="1" outlineLevel="1"/>
    <col min="13" max="13" width="11.83203125" hidden="1" customWidth="1" outlineLevel="1"/>
    <col min="14" max="15" width="10.83203125" hidden="1" customWidth="1" outlineLevel="1"/>
    <col min="16" max="16" width="12" hidden="1" customWidth="1" outlineLevel="1"/>
    <col min="17" max="17" width="10.83203125" collapsed="1"/>
  </cols>
  <sheetData>
    <row r="1" spans="1:16" x14ac:dyDescent="0.2">
      <c r="A1" s="2" t="s">
        <v>0</v>
      </c>
      <c r="B1" s="1" t="s">
        <v>23</v>
      </c>
      <c r="C1" s="1" t="s">
        <v>10</v>
      </c>
      <c r="D1" s="1" t="s">
        <v>31</v>
      </c>
      <c r="J1" s="2" t="s">
        <v>4</v>
      </c>
      <c r="K1" s="2" t="s">
        <v>5</v>
      </c>
      <c r="L1" s="5"/>
      <c r="M1" s="5"/>
      <c r="N1" s="5"/>
      <c r="O1" s="5"/>
      <c r="P1" s="5"/>
    </row>
    <row r="2" spans="1:16" x14ac:dyDescent="0.2">
      <c r="A2" s="2" t="s">
        <v>1</v>
      </c>
      <c r="B2" s="4">
        <v>2</v>
      </c>
      <c r="K2" s="5"/>
      <c r="L2" s="5"/>
      <c r="M2" s="5"/>
      <c r="N2" s="5"/>
      <c r="O2" s="5"/>
      <c r="P2" s="5"/>
    </row>
    <row r="3" spans="1:16" x14ac:dyDescent="0.2">
      <c r="A3" s="2"/>
      <c r="B3" s="4"/>
      <c r="K3" t="s">
        <v>27</v>
      </c>
      <c r="L3" s="11">
        <f>D6*D7</f>
        <v>6500000</v>
      </c>
    </row>
    <row r="4" spans="1:16" x14ac:dyDescent="0.2">
      <c r="A4" t="s">
        <v>32</v>
      </c>
      <c r="K4" t="s">
        <v>46</v>
      </c>
      <c r="L4" s="11">
        <f>L3*D8</f>
        <v>325000000000</v>
      </c>
      <c r="M4" t="s">
        <v>47</v>
      </c>
    </row>
    <row r="5" spans="1:16" x14ac:dyDescent="0.2">
      <c r="K5" t="s">
        <v>48</v>
      </c>
      <c r="L5" s="62">
        <f>D6^2*B12</f>
        <v>290000000000</v>
      </c>
      <c r="M5" t="s">
        <v>49</v>
      </c>
    </row>
    <row r="6" spans="1:16" x14ac:dyDescent="0.2">
      <c r="A6" s="58" t="s">
        <v>33</v>
      </c>
      <c r="D6" s="12">
        <v>10000000</v>
      </c>
      <c r="K6" t="s">
        <v>50</v>
      </c>
      <c r="L6">
        <f>SQRT(L4+L5)</f>
        <v>784219.35706790606</v>
      </c>
    </row>
    <row r="7" spans="1:16" x14ac:dyDescent="0.2">
      <c r="A7" s="3" t="s">
        <v>34</v>
      </c>
      <c r="D7" s="61">
        <v>0.65</v>
      </c>
      <c r="K7" s="2" t="s">
        <v>51</v>
      </c>
      <c r="L7" s="65">
        <f>L6/L3</f>
        <v>0.12064913185660094</v>
      </c>
    </row>
    <row r="8" spans="1:16" x14ac:dyDescent="0.2">
      <c r="A8" s="3" t="s">
        <v>35</v>
      </c>
      <c r="D8" s="15">
        <v>50000</v>
      </c>
    </row>
    <row r="9" spans="1:16" x14ac:dyDescent="0.2">
      <c r="A9" s="3" t="s">
        <v>36</v>
      </c>
      <c r="K9" s="2" t="s">
        <v>6</v>
      </c>
    </row>
    <row r="11" spans="1:16" x14ac:dyDescent="0.2">
      <c r="A11" s="7"/>
      <c r="B11" s="23" t="s">
        <v>37</v>
      </c>
      <c r="C11" s="23" t="s">
        <v>38</v>
      </c>
      <c r="D11" s="24" t="s">
        <v>39</v>
      </c>
      <c r="K11" s="5" t="s">
        <v>52</v>
      </c>
    </row>
    <row r="12" spans="1:16" x14ac:dyDescent="0.2">
      <c r="A12" s="25" t="s">
        <v>37</v>
      </c>
      <c r="B12" s="57">
        <v>2.8999999999999998E-3</v>
      </c>
      <c r="C12" s="57">
        <v>-4.1999999999999997E-3</v>
      </c>
      <c r="D12" s="10">
        <v>0.19</v>
      </c>
      <c r="K12" t="s">
        <v>53</v>
      </c>
    </row>
    <row r="13" spans="1:16" x14ac:dyDescent="0.2">
      <c r="A13" s="25" t="s">
        <v>38</v>
      </c>
      <c r="B13" s="57">
        <v>-4.1999999999999997E-3</v>
      </c>
      <c r="C13" s="57">
        <v>5.4999999999999997E-3</v>
      </c>
      <c r="D13" s="10">
        <v>-0.41</v>
      </c>
    </row>
    <row r="14" spans="1:16" x14ac:dyDescent="0.2">
      <c r="A14" s="26" t="s">
        <v>39</v>
      </c>
      <c r="B14" s="9">
        <v>0.19</v>
      </c>
      <c r="C14" s="9">
        <v>-0.41</v>
      </c>
      <c r="D14" s="14">
        <v>25.52</v>
      </c>
      <c r="K14" s="2" t="s">
        <v>8</v>
      </c>
    </row>
    <row r="16" spans="1:16" x14ac:dyDescent="0.2">
      <c r="A16" s="27" t="s">
        <v>9</v>
      </c>
      <c r="B16" s="1" t="s">
        <v>15</v>
      </c>
      <c r="C16" t="s">
        <v>40</v>
      </c>
      <c r="K16" t="s">
        <v>54</v>
      </c>
    </row>
    <row r="17" spans="1:11" x14ac:dyDescent="0.2">
      <c r="A17" s="1"/>
      <c r="B17" s="1"/>
      <c r="K17" t="s">
        <v>55</v>
      </c>
    </row>
    <row r="18" spans="1:11" x14ac:dyDescent="0.2">
      <c r="A18" s="27" t="s">
        <v>2</v>
      </c>
      <c r="B18" s="1" t="s">
        <v>3</v>
      </c>
      <c r="C18" t="s">
        <v>41</v>
      </c>
    </row>
    <row r="19" spans="1:11" x14ac:dyDescent="0.2">
      <c r="A19" s="1"/>
      <c r="B19" s="1"/>
      <c r="C19" t="s">
        <v>42</v>
      </c>
    </row>
    <row r="20" spans="1:11" x14ac:dyDescent="0.2">
      <c r="A20" s="1"/>
      <c r="B20" s="1"/>
    </row>
    <row r="21" spans="1:11" x14ac:dyDescent="0.2">
      <c r="A21" s="1" t="s">
        <v>7</v>
      </c>
      <c r="B21" s="1" t="s">
        <v>3</v>
      </c>
      <c r="C21" t="s">
        <v>43</v>
      </c>
    </row>
    <row r="22" spans="1:11" x14ac:dyDescent="0.2">
      <c r="C22" t="s">
        <v>44</v>
      </c>
    </row>
    <row r="23" spans="1:11" x14ac:dyDescent="0.2">
      <c r="C23" t="s">
        <v>45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E8B3D-DE94-B14C-B106-E9F5357367C0}">
  <dimension ref="A1:Q30"/>
  <sheetViews>
    <sheetView workbookViewId="0"/>
  </sheetViews>
  <sheetFormatPr baseColWidth="10" defaultRowHeight="16" outlineLevelCol="1" x14ac:dyDescent="0.2"/>
  <cols>
    <col min="2" max="2" width="16.6640625" customWidth="1"/>
    <col min="4" max="4" width="11.83203125" bestFit="1" customWidth="1"/>
    <col min="5" max="5" width="10.83203125" customWidth="1"/>
    <col min="7" max="7" width="11.5" customWidth="1"/>
    <col min="11" max="11" width="13.6640625" hidden="1" customWidth="1" outlineLevel="1"/>
    <col min="12" max="12" width="12.1640625" hidden="1" customWidth="1" outlineLevel="1"/>
    <col min="13" max="13" width="11.83203125" hidden="1" customWidth="1" outlineLevel="1"/>
    <col min="14" max="15" width="10.83203125" hidden="1" customWidth="1" outlineLevel="1"/>
    <col min="16" max="16" width="12" hidden="1" customWidth="1" outlineLevel="1"/>
    <col min="17" max="17" width="10.83203125" collapsed="1"/>
  </cols>
  <sheetData>
    <row r="1" spans="1:16" x14ac:dyDescent="0.2">
      <c r="A1" s="2" t="s">
        <v>0</v>
      </c>
      <c r="B1" s="1" t="s">
        <v>14</v>
      </c>
      <c r="C1" s="1" t="s">
        <v>10</v>
      </c>
      <c r="D1" s="1" t="s">
        <v>31</v>
      </c>
      <c r="J1" s="2" t="s">
        <v>4</v>
      </c>
      <c r="K1" s="2" t="s">
        <v>5</v>
      </c>
      <c r="L1" s="5"/>
      <c r="M1" s="5"/>
      <c r="N1" s="5"/>
      <c r="O1" s="5"/>
      <c r="P1" s="5"/>
    </row>
    <row r="2" spans="1:16" x14ac:dyDescent="0.2">
      <c r="A2" s="2" t="s">
        <v>1</v>
      </c>
      <c r="B2" s="4">
        <v>3.25</v>
      </c>
      <c r="K2" s="5"/>
      <c r="L2" s="5"/>
      <c r="M2" s="5"/>
      <c r="N2" s="5"/>
      <c r="O2" s="5"/>
      <c r="P2" s="5"/>
    </row>
    <row r="3" spans="1:16" x14ac:dyDescent="0.2">
      <c r="A3" s="2"/>
      <c r="B3" s="4"/>
      <c r="K3" s="5" t="s">
        <v>74</v>
      </c>
      <c r="L3" s="17">
        <v>30</v>
      </c>
      <c r="M3" s="5"/>
      <c r="N3" s="5"/>
      <c r="O3" s="5"/>
    </row>
    <row r="4" spans="1:16" x14ac:dyDescent="0.2">
      <c r="A4" t="s">
        <v>214</v>
      </c>
      <c r="K4" s="5" t="s">
        <v>75</v>
      </c>
      <c r="L4" s="5">
        <f>L3^B13/(L3^B13+B14^B13)</f>
        <v>0.63595698143749091</v>
      </c>
      <c r="M4" s="5"/>
      <c r="N4" s="5"/>
      <c r="O4" s="5"/>
    </row>
    <row r="5" spans="1:16" x14ac:dyDescent="0.2">
      <c r="A5" s="5" t="s">
        <v>215</v>
      </c>
      <c r="K5" s="5"/>
      <c r="L5" s="5"/>
      <c r="M5" s="5"/>
      <c r="N5" s="5"/>
      <c r="O5" s="5"/>
    </row>
    <row r="6" spans="1:16" x14ac:dyDescent="0.2">
      <c r="K6" s="2" t="s">
        <v>27</v>
      </c>
      <c r="L6" s="75">
        <f>L4*1000*800</f>
        <v>508765.58514999272</v>
      </c>
      <c r="M6" t="s">
        <v>232</v>
      </c>
    </row>
    <row r="7" spans="1:16" x14ac:dyDescent="0.2">
      <c r="A7" t="s">
        <v>216</v>
      </c>
    </row>
    <row r="8" spans="1:16" x14ac:dyDescent="0.2">
      <c r="A8" t="s">
        <v>217</v>
      </c>
      <c r="K8" s="2" t="s">
        <v>6</v>
      </c>
    </row>
    <row r="9" spans="1:16" x14ac:dyDescent="0.2">
      <c r="A9" t="s">
        <v>218</v>
      </c>
    </row>
    <row r="10" spans="1:16" x14ac:dyDescent="0.2">
      <c r="K10" t="s">
        <v>233</v>
      </c>
      <c r="L10" s="17">
        <f>650000+1000*800*(1-L4)</f>
        <v>941234.41485000728</v>
      </c>
    </row>
    <row r="11" spans="1:16" x14ac:dyDescent="0.2">
      <c r="A11" s="3" t="s">
        <v>19</v>
      </c>
    </row>
    <row r="12" spans="1:16" x14ac:dyDescent="0.2">
      <c r="K12" s="87" t="s">
        <v>234</v>
      </c>
    </row>
    <row r="13" spans="1:16" x14ac:dyDescent="0.2">
      <c r="A13" s="3" t="s">
        <v>219</v>
      </c>
      <c r="B13" s="1">
        <v>2.5</v>
      </c>
      <c r="K13" s="87" t="s">
        <v>238</v>
      </c>
    </row>
    <row r="14" spans="1:16" x14ac:dyDescent="0.2">
      <c r="A14" s="3" t="s">
        <v>220</v>
      </c>
      <c r="B14" s="1">
        <v>24</v>
      </c>
      <c r="K14" s="87" t="s">
        <v>239</v>
      </c>
    </row>
    <row r="16" spans="1:16" x14ac:dyDescent="0.2">
      <c r="A16" s="1" t="s">
        <v>9</v>
      </c>
      <c r="B16" s="1" t="s">
        <v>15</v>
      </c>
      <c r="C16" t="s">
        <v>221</v>
      </c>
      <c r="K16" s="2" t="s">
        <v>8</v>
      </c>
    </row>
    <row r="17" spans="1:13" x14ac:dyDescent="0.2">
      <c r="A17" s="1"/>
      <c r="B17" s="1"/>
      <c r="C17" t="s">
        <v>222</v>
      </c>
    </row>
    <row r="18" spans="1:13" x14ac:dyDescent="0.2">
      <c r="A18" s="1"/>
      <c r="B18" s="1"/>
      <c r="K18" s="5" t="s">
        <v>233</v>
      </c>
      <c r="L18" s="17">
        <f>650000/L4</f>
        <v>1022081.7114559648</v>
      </c>
    </row>
    <row r="19" spans="1:13" x14ac:dyDescent="0.2">
      <c r="A19" s="1" t="s">
        <v>2</v>
      </c>
      <c r="B19" s="1" t="s">
        <v>29</v>
      </c>
      <c r="C19" t="s">
        <v>223</v>
      </c>
    </row>
    <row r="20" spans="1:13" x14ac:dyDescent="0.2">
      <c r="A20" s="1"/>
      <c r="B20" s="1"/>
      <c r="C20" t="s">
        <v>224</v>
      </c>
      <c r="K20" s="2" t="s">
        <v>235</v>
      </c>
    </row>
    <row r="21" spans="1:13" x14ac:dyDescent="0.2">
      <c r="A21" s="1"/>
      <c r="B21" s="1"/>
      <c r="C21" t="s">
        <v>237</v>
      </c>
      <c r="M21" t="s">
        <v>236</v>
      </c>
    </row>
    <row r="22" spans="1:13" x14ac:dyDescent="0.2">
      <c r="A22" s="1"/>
      <c r="B22" s="1"/>
      <c r="C22" t="s">
        <v>45</v>
      </c>
      <c r="K22" t="s">
        <v>233</v>
      </c>
      <c r="L22" s="88">
        <f>L18*L4+L10*(1-L4)</f>
        <v>992649.81755691359</v>
      </c>
    </row>
    <row r="23" spans="1:13" x14ac:dyDescent="0.2">
      <c r="A23" s="1"/>
      <c r="B23" s="1"/>
    </row>
    <row r="24" spans="1:13" x14ac:dyDescent="0.2">
      <c r="A24" s="1" t="s">
        <v>7</v>
      </c>
      <c r="B24" s="1" t="s">
        <v>225</v>
      </c>
      <c r="C24" t="s">
        <v>226</v>
      </c>
      <c r="K24" s="2" t="s">
        <v>141</v>
      </c>
      <c r="L24" s="89">
        <f>L22-650000</f>
        <v>342649.81755691359</v>
      </c>
    </row>
    <row r="25" spans="1:13" x14ac:dyDescent="0.2">
      <c r="A25" s="1"/>
      <c r="B25" s="1"/>
      <c r="C25" t="s">
        <v>227</v>
      </c>
    </row>
    <row r="26" spans="1:13" x14ac:dyDescent="0.2">
      <c r="A26" s="1"/>
      <c r="B26" s="1"/>
      <c r="C26" t="s">
        <v>228</v>
      </c>
    </row>
    <row r="27" spans="1:13" x14ac:dyDescent="0.2">
      <c r="A27" s="1"/>
      <c r="B27" s="1"/>
    </row>
    <row r="28" spans="1:13" x14ac:dyDescent="0.2">
      <c r="A28" s="1" t="s">
        <v>229</v>
      </c>
      <c r="B28" s="1" t="s">
        <v>15</v>
      </c>
      <c r="C28" t="s">
        <v>230</v>
      </c>
    </row>
    <row r="29" spans="1:13" x14ac:dyDescent="0.2">
      <c r="C29" t="s">
        <v>231</v>
      </c>
    </row>
    <row r="30" spans="1:13" x14ac:dyDescent="0.2">
      <c r="C30" t="s">
        <v>45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73F0F-0113-104E-9C1F-28A78BBD31F8}">
  <dimension ref="A1:Q42"/>
  <sheetViews>
    <sheetView workbookViewId="0"/>
  </sheetViews>
  <sheetFormatPr baseColWidth="10" defaultRowHeight="16" outlineLevelCol="1" x14ac:dyDescent="0.2"/>
  <cols>
    <col min="2" max="2" width="16.6640625" customWidth="1"/>
    <col min="4" max="4" width="11.83203125" bestFit="1" customWidth="1"/>
    <col min="5" max="5" width="10.83203125" customWidth="1"/>
    <col min="7" max="7" width="11.5" customWidth="1"/>
    <col min="11" max="11" width="13.6640625" hidden="1" customWidth="1" outlineLevel="1"/>
    <col min="12" max="12" width="12.1640625" hidden="1" customWidth="1" outlineLevel="1"/>
    <col min="13" max="13" width="11.83203125" hidden="1" customWidth="1" outlineLevel="1"/>
    <col min="14" max="15" width="10.83203125" hidden="1" customWidth="1" outlineLevel="1"/>
    <col min="16" max="16" width="12" hidden="1" customWidth="1" outlineLevel="1"/>
    <col min="17" max="17" width="10.83203125" collapsed="1"/>
  </cols>
  <sheetData>
    <row r="1" spans="1:16" x14ac:dyDescent="0.2">
      <c r="A1" s="2" t="s">
        <v>0</v>
      </c>
      <c r="B1" s="1" t="s">
        <v>30</v>
      </c>
      <c r="C1" s="1" t="s">
        <v>10</v>
      </c>
      <c r="D1" s="1" t="s">
        <v>154</v>
      </c>
      <c r="J1" s="2" t="s">
        <v>4</v>
      </c>
      <c r="K1" s="2" t="s">
        <v>5</v>
      </c>
      <c r="L1" s="5"/>
      <c r="M1" s="5"/>
      <c r="N1" s="5"/>
      <c r="O1" s="5"/>
      <c r="P1" s="5"/>
    </row>
    <row r="2" spans="1:16" x14ac:dyDescent="0.2">
      <c r="A2" s="2" t="s">
        <v>1</v>
      </c>
      <c r="B2" s="4">
        <v>5</v>
      </c>
      <c r="K2" s="5"/>
      <c r="L2" s="5"/>
      <c r="M2" s="5"/>
      <c r="N2" s="5"/>
      <c r="O2" s="5"/>
      <c r="P2" s="5"/>
    </row>
    <row r="3" spans="1:16" x14ac:dyDescent="0.2">
      <c r="A3" s="2"/>
      <c r="B3" s="4"/>
      <c r="K3" s="8" t="s">
        <v>250</v>
      </c>
    </row>
    <row r="4" spans="1:16" x14ac:dyDescent="0.2">
      <c r="A4" t="s">
        <v>240</v>
      </c>
    </row>
    <row r="5" spans="1:16" x14ac:dyDescent="0.2">
      <c r="A5" s="5"/>
      <c r="K5" s="5" t="s">
        <v>16</v>
      </c>
      <c r="L5" s="17" t="s">
        <v>73</v>
      </c>
      <c r="M5" s="5" t="s">
        <v>74</v>
      </c>
      <c r="N5" s="5" t="s">
        <v>75</v>
      </c>
      <c r="O5" s="5" t="s">
        <v>141</v>
      </c>
    </row>
    <row r="6" spans="1:16" x14ac:dyDescent="0.2">
      <c r="A6" s="50" t="s">
        <v>112</v>
      </c>
      <c r="B6" s="51"/>
      <c r="C6" s="51"/>
      <c r="D6" s="52"/>
      <c r="K6" s="5">
        <v>2010</v>
      </c>
      <c r="L6" s="82">
        <f>D8</f>
        <v>5100</v>
      </c>
      <c r="M6" s="5">
        <v>30</v>
      </c>
      <c r="N6" s="5">
        <f>1-EXP(-((M6/$B$18)^$B$17))</f>
        <v>0.84072409150997862</v>
      </c>
      <c r="O6" s="5">
        <f>L6/N6-L6</f>
        <v>966.19942440351497</v>
      </c>
    </row>
    <row r="7" spans="1:16" x14ac:dyDescent="0.2">
      <c r="A7" s="13" t="s">
        <v>16</v>
      </c>
      <c r="B7" s="23">
        <v>12</v>
      </c>
      <c r="C7" s="23">
        <v>24</v>
      </c>
      <c r="D7" s="24">
        <v>36</v>
      </c>
      <c r="K7" s="5">
        <v>2011</v>
      </c>
      <c r="L7" s="82">
        <f>C9</f>
        <v>4300</v>
      </c>
      <c r="M7" s="5">
        <v>18</v>
      </c>
      <c r="N7" s="5">
        <f t="shared" ref="N7:N8" si="0">1-EXP(-((M7/$B$18)^$B$17))</f>
        <v>0.57421253610098444</v>
      </c>
      <c r="O7" s="5">
        <f t="shared" ref="O7:O8" si="1">L7/N7-L7</f>
        <v>3188.5164110101841</v>
      </c>
    </row>
    <row r="8" spans="1:16" x14ac:dyDescent="0.2">
      <c r="A8" s="31">
        <v>2010</v>
      </c>
      <c r="B8" s="36">
        <v>2750</v>
      </c>
      <c r="C8" s="36">
        <v>4250</v>
      </c>
      <c r="D8" s="37">
        <v>5100</v>
      </c>
      <c r="K8">
        <v>2012</v>
      </c>
      <c r="L8" s="60">
        <f>B10</f>
        <v>2900</v>
      </c>
      <c r="M8">
        <v>6</v>
      </c>
      <c r="N8" s="5">
        <f t="shared" si="0"/>
        <v>0.15152678921981466</v>
      </c>
      <c r="O8" s="5">
        <f t="shared" si="1"/>
        <v>16238.529991505795</v>
      </c>
    </row>
    <row r="9" spans="1:16" x14ac:dyDescent="0.2">
      <c r="A9" s="25">
        <v>2011</v>
      </c>
      <c r="B9" s="28">
        <v>2700</v>
      </c>
      <c r="C9" s="28">
        <v>4300</v>
      </c>
      <c r="D9" s="21"/>
    </row>
    <row r="10" spans="1:16" x14ac:dyDescent="0.2">
      <c r="A10" s="26">
        <v>2012</v>
      </c>
      <c r="B10" s="29">
        <v>2900</v>
      </c>
      <c r="C10" s="18"/>
      <c r="D10" s="19"/>
      <c r="K10" t="s">
        <v>195</v>
      </c>
      <c r="L10">
        <f>SUM(O6:O8)*1000</f>
        <v>20393245.826919492</v>
      </c>
    </row>
    <row r="11" spans="1:16" x14ac:dyDescent="0.2">
      <c r="A11" s="3"/>
    </row>
    <row r="12" spans="1:16" x14ac:dyDescent="0.2">
      <c r="A12" s="3" t="s">
        <v>241</v>
      </c>
      <c r="K12" s="8" t="s">
        <v>251</v>
      </c>
    </row>
    <row r="13" spans="1:16" x14ac:dyDescent="0.2">
      <c r="A13" s="3" t="s">
        <v>242</v>
      </c>
    </row>
    <row r="14" spans="1:16" x14ac:dyDescent="0.2">
      <c r="A14" s="3"/>
      <c r="K14" t="s">
        <v>252</v>
      </c>
    </row>
    <row r="15" spans="1:16" x14ac:dyDescent="0.2">
      <c r="A15" s="3"/>
    </row>
    <row r="16" spans="1:16" x14ac:dyDescent="0.2">
      <c r="A16" s="3"/>
      <c r="K16" t="s">
        <v>16</v>
      </c>
      <c r="L16">
        <v>12</v>
      </c>
      <c r="M16">
        <v>24</v>
      </c>
      <c r="N16">
        <v>36</v>
      </c>
    </row>
    <row r="17" spans="1:14" x14ac:dyDescent="0.2">
      <c r="A17" s="3" t="s">
        <v>219</v>
      </c>
      <c r="B17" s="1">
        <v>1.5</v>
      </c>
      <c r="K17">
        <v>2010</v>
      </c>
      <c r="L17">
        <f>(L6+O6)*N8</f>
        <v>919.19172154695241</v>
      </c>
      <c r="M17">
        <f>(L6+O6)*N7-L17</f>
        <v>2564.096034434122</v>
      </c>
      <c r="N17">
        <f>(L6+O6)*N6-M17-L17</f>
        <v>1616.7122440189255</v>
      </c>
    </row>
    <row r="18" spans="1:14" x14ac:dyDescent="0.2">
      <c r="A18" s="3" t="s">
        <v>220</v>
      </c>
      <c r="B18" s="1">
        <v>20</v>
      </c>
      <c r="K18">
        <v>2011</v>
      </c>
      <c r="L18">
        <f>(L7+O7)*N8</f>
        <v>1134.7108477802631</v>
      </c>
      <c r="M18">
        <f>(L7+O7)*N7-L18</f>
        <v>3165.2891522197369</v>
      </c>
    </row>
    <row r="19" spans="1:14" x14ac:dyDescent="0.2">
      <c r="K19">
        <v>2012</v>
      </c>
      <c r="L19">
        <f>(L8+O8)*N8</f>
        <v>2900</v>
      </c>
    </row>
    <row r="20" spans="1:14" x14ac:dyDescent="0.2">
      <c r="A20" s="1" t="s">
        <v>9</v>
      </c>
      <c r="B20" s="1" t="s">
        <v>243</v>
      </c>
      <c r="C20" t="s">
        <v>244</v>
      </c>
    </row>
    <row r="21" spans="1:14" x14ac:dyDescent="0.2">
      <c r="A21" s="1"/>
      <c r="B21" s="1"/>
      <c r="C21" t="s">
        <v>245</v>
      </c>
      <c r="K21" s="8" t="s">
        <v>253</v>
      </c>
    </row>
    <row r="22" spans="1:14" x14ac:dyDescent="0.2">
      <c r="A22" s="1"/>
      <c r="B22" s="1"/>
    </row>
    <row r="23" spans="1:14" x14ac:dyDescent="0.2">
      <c r="A23" s="1" t="s">
        <v>2</v>
      </c>
      <c r="B23" s="1" t="s">
        <v>26</v>
      </c>
      <c r="C23" t="s">
        <v>246</v>
      </c>
      <c r="K23" t="s">
        <v>16</v>
      </c>
      <c r="L23">
        <v>12</v>
      </c>
      <c r="M23">
        <v>24</v>
      </c>
      <c r="N23">
        <v>36</v>
      </c>
    </row>
    <row r="24" spans="1:14" x14ac:dyDescent="0.2">
      <c r="A24" s="1"/>
      <c r="B24" s="1"/>
      <c r="C24" t="s">
        <v>247</v>
      </c>
      <c r="K24">
        <v>2010</v>
      </c>
      <c r="L24">
        <f>(B8-L17)^2/L17</f>
        <v>3646.5286554269715</v>
      </c>
      <c r="M24">
        <f>((C8-B8)-M17)^2/M17</f>
        <v>441.59826905559521</v>
      </c>
      <c r="N24">
        <f>((D8-C8)-N17)^2/N17</f>
        <v>363.6068615817664</v>
      </c>
    </row>
    <row r="25" spans="1:14" x14ac:dyDescent="0.2">
      <c r="K25">
        <v>2011</v>
      </c>
      <c r="L25">
        <f t="shared" ref="L25:M26" si="2">(B9-L18)^2/L18</f>
        <v>2159.255051495948</v>
      </c>
      <c r="M25">
        <f>((C9-B9)-M18)^2/M18</f>
        <v>774.06202474063662</v>
      </c>
    </row>
    <row r="26" spans="1:14" x14ac:dyDescent="0.2">
      <c r="C26" s="87" t="s">
        <v>248</v>
      </c>
      <c r="K26">
        <v>2012</v>
      </c>
      <c r="L26">
        <f t="shared" si="2"/>
        <v>0</v>
      </c>
    </row>
    <row r="27" spans="1:14" x14ac:dyDescent="0.2">
      <c r="C27" s="87" t="s">
        <v>249</v>
      </c>
    </row>
    <row r="28" spans="1:14" x14ac:dyDescent="0.2">
      <c r="K28" t="s">
        <v>211</v>
      </c>
      <c r="M28">
        <f>SUM(L24:N26)*1000</f>
        <v>7385050.8623009175</v>
      </c>
    </row>
    <row r="30" spans="1:14" x14ac:dyDescent="0.2">
      <c r="K30" t="s">
        <v>206</v>
      </c>
      <c r="M30">
        <v>6</v>
      </c>
      <c r="N30" t="s">
        <v>207</v>
      </c>
    </row>
    <row r="31" spans="1:14" x14ac:dyDescent="0.2">
      <c r="K31" t="s">
        <v>208</v>
      </c>
      <c r="M31">
        <v>5</v>
      </c>
      <c r="N31" t="s">
        <v>209</v>
      </c>
    </row>
    <row r="33" spans="11:14" x14ac:dyDescent="0.2">
      <c r="K33" t="s">
        <v>254</v>
      </c>
      <c r="M33">
        <f>M28/(M30-M31)</f>
        <v>7385050.8623009175</v>
      </c>
      <c r="N33" t="s">
        <v>255</v>
      </c>
    </row>
    <row r="35" spans="11:14" x14ac:dyDescent="0.2">
      <c r="K35" s="2" t="s">
        <v>256</v>
      </c>
      <c r="L35" s="2"/>
      <c r="M35" s="75">
        <f>SQRT(M33*L10)</f>
        <v>12272129.305023085</v>
      </c>
    </row>
    <row r="37" spans="11:14" x14ac:dyDescent="0.2">
      <c r="K37" s="2" t="s">
        <v>6</v>
      </c>
    </row>
    <row r="39" spans="11:14" x14ac:dyDescent="0.2">
      <c r="K39" t="s">
        <v>16</v>
      </c>
      <c r="L39">
        <v>12</v>
      </c>
      <c r="M39">
        <v>24</v>
      </c>
      <c r="N39">
        <v>36</v>
      </c>
    </row>
    <row r="40" spans="11:14" x14ac:dyDescent="0.2">
      <c r="K40">
        <v>2010</v>
      </c>
      <c r="L40">
        <f>(B8-L17)/(SQRT($M$33/1000*L17))</f>
        <v>0.70268886233275107</v>
      </c>
      <c r="M40">
        <f>((C8-B8)-M17)/(SQRT($M$33/1000*M17))</f>
        <v>-0.24453269589369697</v>
      </c>
      <c r="N40">
        <f>((D8-C8)-N17)/(SQRT($M$33/1000*N17))</f>
        <v>-0.22189079680659757</v>
      </c>
    </row>
    <row r="41" spans="11:14" x14ac:dyDescent="0.2">
      <c r="K41">
        <v>2011</v>
      </c>
      <c r="L41">
        <f t="shared" ref="L41:M42" si="3">(B9-L18)/(SQRT($M$33/1000*L18))</f>
        <v>0.54072347787336528</v>
      </c>
      <c r="M41">
        <f t="shared" ref="M41:M42" si="4">((C9-B9)-M18)/(SQRT($M$33/1000*M18))</f>
        <v>-0.32375101260309636</v>
      </c>
    </row>
    <row r="42" spans="11:14" x14ac:dyDescent="0.2">
      <c r="K42">
        <v>2012</v>
      </c>
      <c r="L42">
        <f t="shared" si="3"/>
        <v>0</v>
      </c>
    </row>
  </sheetData>
  <mergeCells count="1">
    <mergeCell ref="A6:D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90AC5-6FA5-A84E-8834-4067D55A12CF}">
  <dimension ref="A1:S46"/>
  <sheetViews>
    <sheetView workbookViewId="0"/>
  </sheetViews>
  <sheetFormatPr baseColWidth="10" defaultRowHeight="16" outlineLevelCol="1" x14ac:dyDescent="0.2"/>
  <cols>
    <col min="2" max="2" width="16.6640625" customWidth="1"/>
    <col min="3" max="3" width="12" customWidth="1"/>
    <col min="4" max="4" width="11.83203125" bestFit="1" customWidth="1"/>
    <col min="5" max="5" width="10.83203125" customWidth="1"/>
    <col min="7" max="7" width="11.5" customWidth="1"/>
    <col min="11" max="11" width="13.6640625" hidden="1" customWidth="1" outlineLevel="1"/>
    <col min="12" max="12" width="16.5" hidden="1" customWidth="1" outlineLevel="1"/>
    <col min="13" max="13" width="11.83203125" hidden="1" customWidth="1" outlineLevel="1"/>
    <col min="14" max="15" width="10.83203125" hidden="1" customWidth="1" outlineLevel="1"/>
    <col min="16" max="16" width="12" hidden="1" customWidth="1" outlineLevel="1"/>
    <col min="17" max="18" width="10.83203125" hidden="1" customWidth="1" outlineLevel="1"/>
    <col min="19" max="19" width="10.83203125" collapsed="1"/>
  </cols>
  <sheetData>
    <row r="1" spans="1:16" x14ac:dyDescent="0.2">
      <c r="A1" s="2" t="s">
        <v>0</v>
      </c>
      <c r="B1" s="1" t="s">
        <v>257</v>
      </c>
      <c r="C1" s="1" t="s">
        <v>10</v>
      </c>
      <c r="D1" s="1" t="s">
        <v>178</v>
      </c>
      <c r="J1" s="2" t="s">
        <v>4</v>
      </c>
      <c r="K1" s="2" t="s">
        <v>5</v>
      </c>
    </row>
    <row r="2" spans="1:16" x14ac:dyDescent="0.2">
      <c r="A2" s="2" t="s">
        <v>1</v>
      </c>
      <c r="B2" s="4">
        <v>3.5</v>
      </c>
    </row>
    <row r="3" spans="1:16" x14ac:dyDescent="0.2">
      <c r="A3" s="2"/>
      <c r="B3" s="4"/>
      <c r="K3" s="8" t="s">
        <v>140</v>
      </c>
    </row>
    <row r="4" spans="1:16" x14ac:dyDescent="0.2">
      <c r="A4" s="16" t="s">
        <v>263</v>
      </c>
      <c r="B4" s="1"/>
    </row>
    <row r="5" spans="1:16" x14ac:dyDescent="0.2">
      <c r="A5" s="1"/>
      <c r="B5" s="1"/>
      <c r="K5" t="s">
        <v>16</v>
      </c>
      <c r="L5" s="60" t="s">
        <v>72</v>
      </c>
      <c r="M5" s="60" t="s">
        <v>73</v>
      </c>
      <c r="N5" t="s">
        <v>74</v>
      </c>
      <c r="O5" t="s">
        <v>75</v>
      </c>
      <c r="P5" t="s">
        <v>124</v>
      </c>
    </row>
    <row r="6" spans="1:16" x14ac:dyDescent="0.2">
      <c r="A6" s="44" t="s">
        <v>24</v>
      </c>
      <c r="B6" s="53" t="s">
        <v>127</v>
      </c>
      <c r="C6" s="53" t="s">
        <v>128</v>
      </c>
      <c r="D6" s="46" t="s">
        <v>156</v>
      </c>
      <c r="K6">
        <v>2013</v>
      </c>
      <c r="L6" s="60">
        <f>B9</f>
        <v>1300000</v>
      </c>
      <c r="M6" s="60">
        <f>C9</f>
        <v>600000</v>
      </c>
      <c r="N6">
        <v>42</v>
      </c>
      <c r="O6" s="59">
        <f>D9</f>
        <v>0.7</v>
      </c>
      <c r="P6">
        <f>L6*O6</f>
        <v>910000</v>
      </c>
    </row>
    <row r="7" spans="1:16" x14ac:dyDescent="0.2">
      <c r="A7" s="54"/>
      <c r="B7" s="55"/>
      <c r="C7" s="55"/>
      <c r="D7" s="76"/>
      <c r="K7">
        <v>2014</v>
      </c>
      <c r="L7" s="60">
        <f t="shared" ref="L7:M9" si="0">B10</f>
        <v>1200000</v>
      </c>
      <c r="M7" s="60">
        <f t="shared" si="0"/>
        <v>350000</v>
      </c>
      <c r="N7">
        <v>30</v>
      </c>
      <c r="O7" s="59">
        <f t="shared" ref="O7:O9" si="1">D10</f>
        <v>0.45</v>
      </c>
      <c r="P7">
        <f t="shared" ref="P7:P9" si="2">L7*O7</f>
        <v>540000</v>
      </c>
    </row>
    <row r="8" spans="1:16" x14ac:dyDescent="0.2">
      <c r="A8" s="45"/>
      <c r="B8" s="42"/>
      <c r="C8" s="42"/>
      <c r="D8" s="77"/>
      <c r="K8">
        <v>2015</v>
      </c>
      <c r="L8" s="60">
        <f t="shared" si="0"/>
        <v>1200000</v>
      </c>
      <c r="M8" s="60">
        <f t="shared" si="0"/>
        <v>200000</v>
      </c>
      <c r="N8">
        <v>18</v>
      </c>
      <c r="O8" s="59">
        <f t="shared" si="1"/>
        <v>0.25</v>
      </c>
      <c r="P8">
        <f t="shared" si="2"/>
        <v>300000</v>
      </c>
    </row>
    <row r="9" spans="1:16" x14ac:dyDescent="0.2">
      <c r="A9" s="25">
        <v>2008</v>
      </c>
      <c r="B9" s="71">
        <v>1300000</v>
      </c>
      <c r="C9" s="71">
        <v>600000</v>
      </c>
      <c r="D9" s="78">
        <v>0.7</v>
      </c>
      <c r="K9">
        <v>2016</v>
      </c>
      <c r="L9" s="60">
        <f t="shared" si="0"/>
        <v>1300000</v>
      </c>
      <c r="M9" s="60">
        <f t="shared" si="0"/>
        <v>75000</v>
      </c>
      <c r="N9">
        <v>6</v>
      </c>
      <c r="O9" s="59">
        <f t="shared" si="1"/>
        <v>0.1</v>
      </c>
      <c r="P9">
        <f t="shared" si="2"/>
        <v>130000</v>
      </c>
    </row>
    <row r="10" spans="1:16" x14ac:dyDescent="0.2">
      <c r="A10" s="25">
        <v>2009</v>
      </c>
      <c r="B10" s="71">
        <v>1200000</v>
      </c>
      <c r="C10" s="71">
        <v>350000</v>
      </c>
      <c r="D10" s="78">
        <v>0.45</v>
      </c>
      <c r="L10" s="60"/>
      <c r="M10" s="60"/>
    </row>
    <row r="11" spans="1:16" x14ac:dyDescent="0.2">
      <c r="A11" s="25">
        <v>2010</v>
      </c>
      <c r="B11" s="71">
        <v>1200000</v>
      </c>
      <c r="C11" s="71">
        <v>200000</v>
      </c>
      <c r="D11" s="78">
        <v>0.25</v>
      </c>
      <c r="K11" t="s">
        <v>37</v>
      </c>
      <c r="L11">
        <f>SUM(M6:M9)/SUM(P6:P9)</f>
        <v>0.65159574468085102</v>
      </c>
    </row>
    <row r="12" spans="1:16" x14ac:dyDescent="0.2">
      <c r="A12" s="26">
        <v>2011</v>
      </c>
      <c r="B12" s="73">
        <v>1300000</v>
      </c>
      <c r="C12" s="73">
        <v>75000</v>
      </c>
      <c r="D12" s="79">
        <v>0.1</v>
      </c>
    </row>
    <row r="13" spans="1:16" x14ac:dyDescent="0.2">
      <c r="K13" s="8" t="s">
        <v>142</v>
      </c>
    </row>
    <row r="14" spans="1:16" x14ac:dyDescent="0.2">
      <c r="A14" s="3" t="s">
        <v>159</v>
      </c>
      <c r="D14" s="15">
        <v>300000</v>
      </c>
    </row>
    <row r="15" spans="1:16" x14ac:dyDescent="0.2">
      <c r="A15" s="3" t="s">
        <v>158</v>
      </c>
      <c r="D15" s="15">
        <v>10000</v>
      </c>
      <c r="K15" t="s">
        <v>16</v>
      </c>
      <c r="L15" t="s">
        <v>141</v>
      </c>
    </row>
    <row r="17" spans="1:12" x14ac:dyDescent="0.2">
      <c r="A17" s="1" t="s">
        <v>9</v>
      </c>
      <c r="B17" s="1" t="s">
        <v>26</v>
      </c>
      <c r="C17" t="s">
        <v>258</v>
      </c>
      <c r="D17" s="15"/>
      <c r="K17">
        <v>2013</v>
      </c>
      <c r="L17">
        <f>L6*$L$11*(1-O6)</f>
        <v>254122.34042553193</v>
      </c>
    </row>
    <row r="18" spans="1:12" x14ac:dyDescent="0.2">
      <c r="A18" s="1"/>
      <c r="B18" s="1"/>
      <c r="K18">
        <v>2014</v>
      </c>
      <c r="L18">
        <f t="shared" ref="L18:L20" si="3">L7*$L$11*(1-O7)</f>
        <v>430053.19148936175</v>
      </c>
    </row>
    <row r="19" spans="1:12" x14ac:dyDescent="0.2">
      <c r="A19" s="1" t="s">
        <v>2</v>
      </c>
      <c r="B19" s="1" t="s">
        <v>3</v>
      </c>
      <c r="C19" t="s">
        <v>259</v>
      </c>
      <c r="D19" s="15"/>
      <c r="F19" s="15"/>
      <c r="K19">
        <v>2015</v>
      </c>
      <c r="L19">
        <f t="shared" si="3"/>
        <v>586436.17021276592</v>
      </c>
    </row>
    <row r="20" spans="1:12" x14ac:dyDescent="0.2">
      <c r="A20" s="1"/>
      <c r="B20" s="1"/>
      <c r="C20" t="s">
        <v>260</v>
      </c>
      <c r="F20" s="15"/>
      <c r="K20">
        <v>2016</v>
      </c>
      <c r="L20">
        <f t="shared" si="3"/>
        <v>762367.02127659577</v>
      </c>
    </row>
    <row r="21" spans="1:12" x14ac:dyDescent="0.2">
      <c r="A21" s="1"/>
      <c r="B21" s="1"/>
    </row>
    <row r="22" spans="1:12" x14ac:dyDescent="0.2">
      <c r="A22" s="1" t="s">
        <v>7</v>
      </c>
      <c r="B22" s="1" t="s">
        <v>15</v>
      </c>
      <c r="C22" t="s">
        <v>261</v>
      </c>
      <c r="K22" t="s">
        <v>25</v>
      </c>
      <c r="L22">
        <f>SUM(L17:L20)</f>
        <v>2032978.7234042555</v>
      </c>
    </row>
    <row r="23" spans="1:12" x14ac:dyDescent="0.2">
      <c r="C23" t="s">
        <v>262</v>
      </c>
    </row>
    <row r="24" spans="1:12" x14ac:dyDescent="0.2">
      <c r="K24" s="2" t="s">
        <v>6</v>
      </c>
    </row>
    <row r="26" spans="1:12" x14ac:dyDescent="0.2">
      <c r="K26" t="s">
        <v>144</v>
      </c>
      <c r="L26">
        <f>L22*D15</f>
        <v>20329787234.042553</v>
      </c>
    </row>
    <row r="27" spans="1:12" x14ac:dyDescent="0.2">
      <c r="K27" s="2" t="s">
        <v>256</v>
      </c>
      <c r="L27" s="75">
        <f>SQRT(L26)</f>
        <v>142582.56286812408</v>
      </c>
    </row>
    <row r="29" spans="1:12" x14ac:dyDescent="0.2">
      <c r="K29" s="2" t="s">
        <v>8</v>
      </c>
    </row>
    <row r="30" spans="1:12" x14ac:dyDescent="0.2">
      <c r="K30" s="5"/>
    </row>
    <row r="31" spans="1:12" x14ac:dyDescent="0.2">
      <c r="K31" s="5" t="s">
        <v>144</v>
      </c>
      <c r="L31">
        <f>L26</f>
        <v>20329787234.042553</v>
      </c>
    </row>
    <row r="32" spans="1:12" x14ac:dyDescent="0.2">
      <c r="K32" t="s">
        <v>145</v>
      </c>
      <c r="L32" s="60">
        <f>D14^2</f>
        <v>90000000000</v>
      </c>
    </row>
    <row r="33" spans="11:17" x14ac:dyDescent="0.2">
      <c r="K33" s="2" t="s">
        <v>50</v>
      </c>
      <c r="L33" s="75">
        <f>SQRT(L31+L32)</f>
        <v>332159.27991558891</v>
      </c>
    </row>
    <row r="34" spans="11:17" x14ac:dyDescent="0.2">
      <c r="K34" s="2" t="s">
        <v>51</v>
      </c>
      <c r="L34" s="90">
        <f>L33/L22</f>
        <v>0.16338551706993906</v>
      </c>
    </row>
    <row r="35" spans="11:17" x14ac:dyDescent="0.2">
      <c r="L35" s="60"/>
    </row>
    <row r="36" spans="11:17" x14ac:dyDescent="0.2">
      <c r="L36" s="60"/>
    </row>
    <row r="37" spans="11:17" x14ac:dyDescent="0.2">
      <c r="K37" s="5"/>
      <c r="L37" s="81"/>
      <c r="M37" s="5"/>
      <c r="N37" s="5"/>
      <c r="O37" s="5"/>
      <c r="P37" s="5"/>
      <c r="Q37" s="5"/>
    </row>
    <row r="38" spans="11:17" x14ac:dyDescent="0.2">
      <c r="K38" s="5"/>
      <c r="M38" s="5"/>
      <c r="N38" s="82"/>
      <c r="O38" s="5"/>
      <c r="P38" s="5"/>
      <c r="Q38" s="5"/>
    </row>
    <row r="39" spans="11:17" x14ac:dyDescent="0.2">
      <c r="K39" s="5"/>
      <c r="L39" s="5"/>
      <c r="M39" s="5"/>
      <c r="N39" s="5"/>
      <c r="O39" s="5"/>
      <c r="P39" s="5"/>
      <c r="Q39" s="5"/>
    </row>
    <row r="40" spans="11:17" x14ac:dyDescent="0.2">
      <c r="K40" s="5"/>
      <c r="L40" s="5"/>
      <c r="M40" s="5"/>
      <c r="N40" s="5"/>
      <c r="O40" s="5"/>
      <c r="P40" s="5"/>
      <c r="Q40" s="5"/>
    </row>
    <row r="41" spans="11:17" x14ac:dyDescent="0.2">
      <c r="M41" s="5"/>
      <c r="N41" s="5"/>
      <c r="O41" s="5"/>
      <c r="P41" s="5"/>
      <c r="Q41" s="5"/>
    </row>
    <row r="42" spans="11:17" x14ac:dyDescent="0.2">
      <c r="M42" s="5"/>
      <c r="N42" s="5"/>
      <c r="O42" s="5"/>
      <c r="P42" s="5"/>
      <c r="Q42" s="5"/>
    </row>
    <row r="44" spans="11:17" x14ac:dyDescent="0.2">
      <c r="K44" s="2"/>
    </row>
    <row r="46" spans="11:17" x14ac:dyDescent="0.2">
      <c r="K46" s="5"/>
    </row>
  </sheetData>
  <mergeCells count="4">
    <mergeCell ref="A6:A8"/>
    <mergeCell ref="B6:B8"/>
    <mergeCell ref="C6:C8"/>
    <mergeCell ref="D6:D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24ADB-DD96-3F47-A3E9-F4F1E7A9FEF6}">
  <dimension ref="A1:S56"/>
  <sheetViews>
    <sheetView workbookViewId="0"/>
  </sheetViews>
  <sheetFormatPr baseColWidth="10" defaultRowHeight="16" outlineLevelCol="1" x14ac:dyDescent="0.2"/>
  <cols>
    <col min="2" max="2" width="16.6640625" customWidth="1"/>
    <col min="3" max="3" width="12" customWidth="1"/>
    <col min="4" max="4" width="11.83203125" bestFit="1" customWidth="1"/>
    <col min="5" max="5" width="10.83203125" customWidth="1"/>
    <col min="7" max="7" width="11.5" customWidth="1"/>
    <col min="11" max="11" width="13.6640625" hidden="1" customWidth="1" outlineLevel="1"/>
    <col min="12" max="12" width="16.5" hidden="1" customWidth="1" outlineLevel="1"/>
    <col min="13" max="13" width="11.83203125" hidden="1" customWidth="1" outlineLevel="1"/>
    <col min="14" max="15" width="10.83203125" hidden="1" customWidth="1" outlineLevel="1"/>
    <col min="16" max="16" width="12" hidden="1" customWidth="1" outlineLevel="1"/>
    <col min="17" max="18" width="10.83203125" hidden="1" customWidth="1" outlineLevel="1"/>
    <col min="19" max="19" width="10.83203125" collapsed="1"/>
  </cols>
  <sheetData>
    <row r="1" spans="1:16" x14ac:dyDescent="0.2">
      <c r="A1" s="2" t="s">
        <v>0</v>
      </c>
      <c r="B1" s="1" t="s">
        <v>264</v>
      </c>
      <c r="C1" s="1" t="s">
        <v>10</v>
      </c>
      <c r="D1" s="1" t="s">
        <v>178</v>
      </c>
      <c r="J1" s="2" t="s">
        <v>4</v>
      </c>
      <c r="K1" s="2" t="s">
        <v>5</v>
      </c>
    </row>
    <row r="2" spans="1:16" x14ac:dyDescent="0.2">
      <c r="A2" s="2" t="s">
        <v>1</v>
      </c>
      <c r="B2" s="4">
        <v>4</v>
      </c>
    </row>
    <row r="3" spans="1:16" x14ac:dyDescent="0.2">
      <c r="A3" s="2"/>
      <c r="B3" s="4"/>
      <c r="K3" s="8" t="s">
        <v>140</v>
      </c>
    </row>
    <row r="4" spans="1:16" x14ac:dyDescent="0.2">
      <c r="A4" s="16" t="s">
        <v>275</v>
      </c>
      <c r="B4" s="1"/>
    </row>
    <row r="5" spans="1:16" x14ac:dyDescent="0.2">
      <c r="A5" s="1"/>
      <c r="B5" s="1"/>
      <c r="K5" t="s">
        <v>16</v>
      </c>
      <c r="L5" s="60" t="s">
        <v>72</v>
      </c>
      <c r="M5" s="60" t="s">
        <v>73</v>
      </c>
      <c r="N5" t="s">
        <v>74</v>
      </c>
      <c r="O5" t="s">
        <v>75</v>
      </c>
      <c r="P5" t="s">
        <v>124</v>
      </c>
    </row>
    <row r="6" spans="1:16" x14ac:dyDescent="0.2">
      <c r="A6" s="44" t="s">
        <v>24</v>
      </c>
      <c r="B6" s="53" t="s">
        <v>127</v>
      </c>
      <c r="C6" s="53" t="s">
        <v>265</v>
      </c>
      <c r="D6" s="46" t="s">
        <v>156</v>
      </c>
      <c r="K6">
        <v>2008</v>
      </c>
      <c r="L6" s="60">
        <f>B9</f>
        <v>13500</v>
      </c>
      <c r="M6" s="60">
        <f>C9</f>
        <v>7200</v>
      </c>
      <c r="N6">
        <v>30</v>
      </c>
      <c r="O6" s="59">
        <f>D9</f>
        <v>0.78900000000000003</v>
      </c>
      <c r="P6">
        <f>L6*O6</f>
        <v>10651.5</v>
      </c>
    </row>
    <row r="7" spans="1:16" x14ac:dyDescent="0.2">
      <c r="A7" s="54"/>
      <c r="B7" s="55"/>
      <c r="C7" s="55"/>
      <c r="D7" s="76"/>
      <c r="K7">
        <v>2009</v>
      </c>
      <c r="L7" s="60">
        <f t="shared" ref="L7:M9" si="0">B10</f>
        <v>14000</v>
      </c>
      <c r="M7" s="60">
        <f t="shared" si="0"/>
        <v>5700</v>
      </c>
      <c r="N7">
        <v>18</v>
      </c>
      <c r="O7" s="59">
        <f t="shared" ref="O7:O9" si="1">D10</f>
        <v>0.57899999999999996</v>
      </c>
      <c r="P7">
        <f t="shared" ref="P7:P9" si="2">L7*O7</f>
        <v>8105.9999999999991</v>
      </c>
    </row>
    <row r="8" spans="1:16" x14ac:dyDescent="0.2">
      <c r="A8" s="45"/>
      <c r="B8" s="42"/>
      <c r="C8" s="42"/>
      <c r="D8" s="77"/>
      <c r="K8">
        <v>2010</v>
      </c>
      <c r="L8" s="60">
        <f t="shared" si="0"/>
        <v>14500</v>
      </c>
      <c r="M8" s="60">
        <f t="shared" si="0"/>
        <v>1400</v>
      </c>
      <c r="N8">
        <v>6</v>
      </c>
      <c r="O8" s="59">
        <f t="shared" si="1"/>
        <v>0.13800000000000001</v>
      </c>
      <c r="P8">
        <f t="shared" si="2"/>
        <v>2001.0000000000002</v>
      </c>
    </row>
    <row r="9" spans="1:16" x14ac:dyDescent="0.2">
      <c r="A9" s="25">
        <v>2008</v>
      </c>
      <c r="B9" s="71">
        <v>13500</v>
      </c>
      <c r="C9" s="71">
        <v>7200</v>
      </c>
      <c r="D9" s="93">
        <v>0.78900000000000003</v>
      </c>
      <c r="L9" s="60"/>
      <c r="M9" s="60"/>
      <c r="O9" s="59"/>
    </row>
    <row r="10" spans="1:16" x14ac:dyDescent="0.2">
      <c r="A10" s="25">
        <v>2009</v>
      </c>
      <c r="B10" s="71">
        <v>14000</v>
      </c>
      <c r="C10" s="71">
        <v>5700</v>
      </c>
      <c r="D10" s="93">
        <v>0.57899999999999996</v>
      </c>
      <c r="K10" t="s">
        <v>37</v>
      </c>
      <c r="L10">
        <f>SUM(M6:M8)/SUM(P6:P8)</f>
        <v>0.68887443697762363</v>
      </c>
      <c r="M10" s="60"/>
    </row>
    <row r="11" spans="1:16" x14ac:dyDescent="0.2">
      <c r="A11" s="25">
        <v>2010</v>
      </c>
      <c r="B11" s="71">
        <v>14500</v>
      </c>
      <c r="C11" s="71">
        <v>1400</v>
      </c>
      <c r="D11" s="93">
        <v>0.13800000000000001</v>
      </c>
    </row>
    <row r="12" spans="1:16" x14ac:dyDescent="0.2">
      <c r="A12" s="7" t="s">
        <v>25</v>
      </c>
      <c r="B12" s="91">
        <v>42000</v>
      </c>
      <c r="C12" s="91">
        <v>14300</v>
      </c>
      <c r="D12" s="92"/>
      <c r="K12" s="8" t="s">
        <v>142</v>
      </c>
    </row>
    <row r="14" spans="1:16" x14ac:dyDescent="0.2">
      <c r="A14" s="3" t="s">
        <v>186</v>
      </c>
      <c r="D14" s="15"/>
      <c r="F14" s="1">
        <v>796</v>
      </c>
      <c r="K14" t="s">
        <v>16</v>
      </c>
      <c r="L14" t="s">
        <v>74</v>
      </c>
      <c r="M14" t="s">
        <v>75</v>
      </c>
      <c r="N14" t="s">
        <v>276</v>
      </c>
      <c r="O14" t="s">
        <v>141</v>
      </c>
    </row>
    <row r="15" spans="1:16" x14ac:dyDescent="0.2">
      <c r="A15" s="3" t="s">
        <v>266</v>
      </c>
      <c r="D15" s="15"/>
      <c r="F15" s="1"/>
      <c r="K15" t="s">
        <v>193</v>
      </c>
      <c r="L15">
        <v>54</v>
      </c>
      <c r="M15">
        <f>L15^C23/(L15^C23+C24^C23)</f>
        <v>0.92190839375687961</v>
      </c>
      <c r="N15" s="59">
        <v>0</v>
      </c>
      <c r="O15">
        <v>0</v>
      </c>
    </row>
    <row r="16" spans="1:16" x14ac:dyDescent="0.2">
      <c r="A16" s="3" t="s">
        <v>267</v>
      </c>
      <c r="D16" s="15"/>
      <c r="F16" s="1"/>
      <c r="K16">
        <v>2008</v>
      </c>
      <c r="L16">
        <v>30</v>
      </c>
      <c r="M16" s="59">
        <f>O6</f>
        <v>0.78900000000000003</v>
      </c>
      <c r="N16" s="59">
        <f>M15-M16</f>
        <v>0.13290839375687957</v>
      </c>
      <c r="O16">
        <f>L6*$L$10*(N16)</f>
        <v>1236.0221314047549</v>
      </c>
      <c r="P16" t="s">
        <v>277</v>
      </c>
    </row>
    <row r="17" spans="1:16" x14ac:dyDescent="0.2">
      <c r="A17" s="3"/>
      <c r="D17" s="15"/>
      <c r="F17" s="1"/>
      <c r="K17">
        <v>2009</v>
      </c>
      <c r="L17">
        <v>18</v>
      </c>
      <c r="M17" s="59">
        <f t="shared" ref="M17:M18" si="3">O7</f>
        <v>0.57899999999999996</v>
      </c>
      <c r="N17" s="59">
        <f>M15-M17</f>
        <v>0.34290839375687965</v>
      </c>
      <c r="O17">
        <f t="shared" ref="O17:O18" si="4">L7*$L$10*(N17)</f>
        <v>3307.0915735784042</v>
      </c>
      <c r="P17" t="s">
        <v>277</v>
      </c>
    </row>
    <row r="18" spans="1:16" x14ac:dyDescent="0.2">
      <c r="A18" s="3"/>
      <c r="D18" s="15"/>
      <c r="F18" s="1"/>
      <c r="K18">
        <v>2010</v>
      </c>
      <c r="L18">
        <v>6</v>
      </c>
      <c r="M18" s="59">
        <f t="shared" si="3"/>
        <v>0.13800000000000001</v>
      </c>
      <c r="N18" s="59">
        <f>M15-M18</f>
        <v>0.7839083937568796</v>
      </c>
      <c r="O18">
        <f t="shared" si="4"/>
        <v>7830.209574173904</v>
      </c>
      <c r="P18" t="s">
        <v>277</v>
      </c>
    </row>
    <row r="19" spans="1:16" x14ac:dyDescent="0.2">
      <c r="A19" s="3" t="s">
        <v>268</v>
      </c>
      <c r="D19" s="15"/>
      <c r="F19" s="1"/>
    </row>
    <row r="20" spans="1:16" x14ac:dyDescent="0.2">
      <c r="A20" s="3" t="s">
        <v>269</v>
      </c>
      <c r="D20" s="15"/>
      <c r="F20" s="1"/>
      <c r="K20" s="2" t="s">
        <v>195</v>
      </c>
      <c r="L20" s="2">
        <f>SUM(O15:O18)</f>
        <v>12373.323279157063</v>
      </c>
    </row>
    <row r="21" spans="1:16" x14ac:dyDescent="0.2">
      <c r="A21" s="3" t="s">
        <v>270</v>
      </c>
      <c r="D21" s="15"/>
      <c r="F21" s="1"/>
    </row>
    <row r="22" spans="1:16" x14ac:dyDescent="0.2">
      <c r="A22" s="3"/>
      <c r="D22" s="15"/>
      <c r="F22" s="1"/>
      <c r="K22" s="2" t="s">
        <v>6</v>
      </c>
    </row>
    <row r="23" spans="1:16" x14ac:dyDescent="0.2">
      <c r="B23" s="20" t="s">
        <v>64</v>
      </c>
      <c r="C23" s="66">
        <v>1.956</v>
      </c>
      <c r="D23" s="15"/>
      <c r="F23" s="1"/>
    </row>
    <row r="24" spans="1:16" x14ac:dyDescent="0.2">
      <c r="B24" s="20" t="s">
        <v>65</v>
      </c>
      <c r="C24" s="66">
        <v>15.286</v>
      </c>
      <c r="D24" s="15"/>
      <c r="F24" s="1"/>
      <c r="K24" t="s">
        <v>144</v>
      </c>
      <c r="L24">
        <f>B27*L20</f>
        <v>111359.90951241356</v>
      </c>
    </row>
    <row r="25" spans="1:16" x14ac:dyDescent="0.2">
      <c r="A25" s="3"/>
      <c r="D25" s="15"/>
      <c r="F25" s="1"/>
      <c r="K25" t="s">
        <v>278</v>
      </c>
      <c r="L25">
        <f>F14^2</f>
        <v>633616</v>
      </c>
    </row>
    <row r="26" spans="1:16" x14ac:dyDescent="0.2">
      <c r="A26" s="3" t="s">
        <v>271</v>
      </c>
      <c r="D26" s="15"/>
      <c r="F26" s="1"/>
      <c r="K26" t="s">
        <v>50</v>
      </c>
      <c r="L26">
        <f>SQRT(L24+L25)</f>
        <v>863.11986972402246</v>
      </c>
    </row>
    <row r="27" spans="1:16" x14ac:dyDescent="0.2">
      <c r="A27" s="3" t="s">
        <v>272</v>
      </c>
      <c r="B27" s="1">
        <v>9</v>
      </c>
      <c r="D27" s="15"/>
      <c r="K27" s="2" t="s">
        <v>51</v>
      </c>
      <c r="L27" s="32">
        <f>L26/L20</f>
        <v>6.9756511670389557E-2</v>
      </c>
    </row>
    <row r="28" spans="1:16" x14ac:dyDescent="0.2">
      <c r="K28" s="5"/>
      <c r="L28" s="5"/>
    </row>
    <row r="29" spans="1:16" x14ac:dyDescent="0.2">
      <c r="A29" s="1" t="s">
        <v>9</v>
      </c>
      <c r="B29" s="1" t="s">
        <v>243</v>
      </c>
      <c r="C29" t="s">
        <v>273</v>
      </c>
      <c r="D29" s="15"/>
      <c r="K29" s="5"/>
      <c r="L29" s="5"/>
    </row>
    <row r="30" spans="1:16" x14ac:dyDescent="0.2">
      <c r="A30" s="1"/>
      <c r="B30" s="1"/>
      <c r="C30" t="s">
        <v>274</v>
      </c>
      <c r="K30" s="5"/>
      <c r="L30" s="5"/>
    </row>
    <row r="31" spans="1:16" x14ac:dyDescent="0.2">
      <c r="A31" s="1"/>
      <c r="B31" s="1"/>
      <c r="K31" s="5"/>
      <c r="L31" s="5"/>
    </row>
    <row r="32" spans="1:16" x14ac:dyDescent="0.2">
      <c r="A32" s="1" t="s">
        <v>2</v>
      </c>
      <c r="B32" s="1" t="s">
        <v>15</v>
      </c>
      <c r="C32" t="s">
        <v>283</v>
      </c>
      <c r="D32" s="15"/>
      <c r="F32" s="15"/>
      <c r="K32" s="5"/>
      <c r="L32" s="5"/>
    </row>
    <row r="33" spans="1:17" x14ac:dyDescent="0.2">
      <c r="A33" s="1"/>
      <c r="B33" s="1"/>
      <c r="C33" t="s">
        <v>260</v>
      </c>
      <c r="F33" s="15"/>
      <c r="K33" s="5"/>
      <c r="L33" s="5"/>
    </row>
    <row r="34" spans="1:17" x14ac:dyDescent="0.2">
      <c r="K34" s="5"/>
      <c r="L34" s="5"/>
    </row>
    <row r="35" spans="1:17" x14ac:dyDescent="0.2">
      <c r="K35" s="5"/>
      <c r="L35" s="5"/>
    </row>
    <row r="36" spans="1:17" x14ac:dyDescent="0.2">
      <c r="K36" s="5"/>
      <c r="L36" s="5"/>
    </row>
    <row r="37" spans="1:17" x14ac:dyDescent="0.2">
      <c r="K37" s="5"/>
      <c r="L37" s="81"/>
    </row>
    <row r="38" spans="1:17" x14ac:dyDescent="0.2">
      <c r="K38" s="5"/>
      <c r="L38" s="5"/>
    </row>
    <row r="39" spans="1:17" x14ac:dyDescent="0.2">
      <c r="K39" s="5"/>
      <c r="L39" s="5"/>
    </row>
    <row r="40" spans="1:17" x14ac:dyDescent="0.2">
      <c r="K40" s="5"/>
      <c r="L40" s="5"/>
    </row>
    <row r="41" spans="1:17" x14ac:dyDescent="0.2">
      <c r="K41" s="5"/>
      <c r="L41" s="5"/>
    </row>
    <row r="42" spans="1:17" x14ac:dyDescent="0.2">
      <c r="K42" s="5"/>
      <c r="L42" s="82"/>
    </row>
    <row r="43" spans="1:17" x14ac:dyDescent="0.2">
      <c r="K43" s="5"/>
      <c r="L43" s="81"/>
    </row>
    <row r="44" spans="1:17" x14ac:dyDescent="0.2">
      <c r="K44" s="5"/>
      <c r="L44" s="94"/>
    </row>
    <row r="45" spans="1:17" x14ac:dyDescent="0.2">
      <c r="K45" s="5"/>
      <c r="L45" s="82"/>
    </row>
    <row r="46" spans="1:17" x14ac:dyDescent="0.2">
      <c r="L46" s="60"/>
    </row>
    <row r="47" spans="1:17" x14ac:dyDescent="0.2">
      <c r="K47" s="5"/>
      <c r="L47" s="81"/>
      <c r="M47" s="5"/>
      <c r="N47" s="5"/>
      <c r="O47" s="5"/>
      <c r="P47" s="5"/>
      <c r="Q47" s="5"/>
    </row>
    <row r="48" spans="1:17" x14ac:dyDescent="0.2">
      <c r="K48" s="5"/>
      <c r="M48" s="5"/>
      <c r="N48" s="82"/>
      <c r="O48" s="5"/>
      <c r="P48" s="5"/>
      <c r="Q48" s="5"/>
    </row>
    <row r="49" spans="11:17" x14ac:dyDescent="0.2">
      <c r="K49" s="5"/>
      <c r="L49" s="5"/>
      <c r="M49" s="5"/>
      <c r="N49" s="5"/>
      <c r="O49" s="5"/>
      <c r="P49" s="5"/>
      <c r="Q49" s="5"/>
    </row>
    <row r="50" spans="11:17" x14ac:dyDescent="0.2">
      <c r="K50" s="5"/>
      <c r="L50" s="5"/>
      <c r="M50" s="5"/>
      <c r="N50" s="5"/>
      <c r="O50" s="5"/>
      <c r="P50" s="5"/>
      <c r="Q50" s="5"/>
    </row>
    <row r="51" spans="11:17" x14ac:dyDescent="0.2">
      <c r="M51" s="5"/>
      <c r="N51" s="5"/>
      <c r="O51" s="5"/>
      <c r="P51" s="5"/>
      <c r="Q51" s="5"/>
    </row>
    <row r="52" spans="11:17" x14ac:dyDescent="0.2">
      <c r="M52" s="5"/>
      <c r="N52" s="5"/>
      <c r="O52" s="5"/>
      <c r="P52" s="5"/>
      <c r="Q52" s="5"/>
    </row>
    <row r="54" spans="11:17" x14ac:dyDescent="0.2">
      <c r="K54" s="2"/>
    </row>
    <row r="56" spans="11:17" x14ac:dyDescent="0.2">
      <c r="K56" s="5"/>
    </row>
  </sheetData>
  <mergeCells count="4">
    <mergeCell ref="A6:A8"/>
    <mergeCell ref="B6:B8"/>
    <mergeCell ref="C6:C8"/>
    <mergeCell ref="D6:D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18EAF-AE0F-4340-84F4-98C17A8F2106}">
  <dimension ref="A1:Q25"/>
  <sheetViews>
    <sheetView workbookViewId="0"/>
  </sheetViews>
  <sheetFormatPr baseColWidth="10" defaultRowHeight="16" outlineLevelCol="1" x14ac:dyDescent="0.2"/>
  <cols>
    <col min="2" max="2" width="16.6640625" customWidth="1"/>
    <col min="4" max="4" width="11.83203125" bestFit="1" customWidth="1"/>
    <col min="5" max="5" width="10.83203125" customWidth="1"/>
    <col min="7" max="7" width="11.5" customWidth="1"/>
    <col min="11" max="11" width="13.6640625" hidden="1" customWidth="1" outlineLevel="1"/>
    <col min="12" max="12" width="11" hidden="1" customWidth="1" outlineLevel="1"/>
    <col min="13" max="13" width="11.83203125" hidden="1" customWidth="1" outlineLevel="1"/>
    <col min="14" max="15" width="10.83203125" hidden="1" customWidth="1" outlineLevel="1"/>
    <col min="16" max="16" width="12" hidden="1" customWidth="1" outlineLevel="1"/>
    <col min="17" max="17" width="10.83203125" collapsed="1"/>
  </cols>
  <sheetData>
    <row r="1" spans="1:16" x14ac:dyDescent="0.2">
      <c r="A1" s="2" t="s">
        <v>0</v>
      </c>
      <c r="B1" s="1" t="s">
        <v>23</v>
      </c>
      <c r="C1" s="1" t="s">
        <v>10</v>
      </c>
      <c r="D1" s="1" t="s">
        <v>56</v>
      </c>
      <c r="J1" s="2" t="s">
        <v>4</v>
      </c>
      <c r="K1" s="2" t="s">
        <v>5</v>
      </c>
      <c r="L1" s="5"/>
      <c r="M1" s="5"/>
      <c r="N1" s="5"/>
      <c r="O1" s="5"/>
      <c r="P1" s="5"/>
    </row>
    <row r="2" spans="1:16" x14ac:dyDescent="0.2">
      <c r="A2" s="2" t="s">
        <v>1</v>
      </c>
      <c r="B2" s="4">
        <v>2.5</v>
      </c>
      <c r="K2" s="5"/>
      <c r="L2" s="5"/>
      <c r="M2" s="5"/>
      <c r="N2" s="5"/>
      <c r="O2" s="5"/>
      <c r="P2" s="5"/>
    </row>
    <row r="3" spans="1:16" x14ac:dyDescent="0.2">
      <c r="A3" s="2"/>
      <c r="B3" s="4"/>
      <c r="K3" t="s">
        <v>16</v>
      </c>
      <c r="L3" s="11" t="s">
        <v>72</v>
      </c>
      <c r="M3" t="s">
        <v>73</v>
      </c>
      <c r="N3" t="s">
        <v>74</v>
      </c>
      <c r="O3" t="s">
        <v>75</v>
      </c>
      <c r="P3" t="s">
        <v>76</v>
      </c>
    </row>
    <row r="4" spans="1:16" x14ac:dyDescent="0.2">
      <c r="A4" t="s">
        <v>57</v>
      </c>
      <c r="K4">
        <v>2016</v>
      </c>
      <c r="L4" s="11">
        <f>B9</f>
        <v>13000</v>
      </c>
      <c r="M4" s="60">
        <f>E9</f>
        <v>2850</v>
      </c>
      <c r="N4">
        <v>30</v>
      </c>
      <c r="O4">
        <f>N4^$C$15/(N4^$C$15+$C$16^$C$15)</f>
        <v>0.33599383631210572</v>
      </c>
      <c r="P4" s="63">
        <f>L4*O4</f>
        <v>4367.9198720573741</v>
      </c>
    </row>
    <row r="5" spans="1:16" x14ac:dyDescent="0.2">
      <c r="K5">
        <v>2017</v>
      </c>
      <c r="L5" s="11">
        <f t="shared" ref="L5:L6" si="0">B10</f>
        <v>13250</v>
      </c>
      <c r="M5" s="60">
        <f>D10</f>
        <v>1375</v>
      </c>
      <c r="N5">
        <v>18</v>
      </c>
      <c r="O5">
        <f t="shared" ref="O5:O6" si="1">N5^$C$15/(N5^$C$15+$C$16^$C$15)</f>
        <v>0.19452458575426002</v>
      </c>
      <c r="P5" s="63">
        <f t="shared" ref="P5:P6" si="2">L5*O5</f>
        <v>2577.4507612439452</v>
      </c>
    </row>
    <row r="6" spans="1:16" x14ac:dyDescent="0.2">
      <c r="A6" s="47" t="s">
        <v>58</v>
      </c>
      <c r="B6" s="53" t="s">
        <v>63</v>
      </c>
      <c r="C6" s="38" t="s">
        <v>59</v>
      </c>
      <c r="D6" s="41"/>
      <c r="E6" s="39"/>
      <c r="K6">
        <v>2018</v>
      </c>
      <c r="L6" s="11">
        <f t="shared" si="0"/>
        <v>13500</v>
      </c>
      <c r="M6">
        <f>C11</f>
        <v>350</v>
      </c>
      <c r="N6">
        <v>6</v>
      </c>
      <c r="O6">
        <f t="shared" si="1"/>
        <v>4.6901673641240794E-2</v>
      </c>
      <c r="P6" s="63">
        <f t="shared" si="2"/>
        <v>633.17259415675073</v>
      </c>
    </row>
    <row r="7" spans="1:16" x14ac:dyDescent="0.2">
      <c r="A7" s="48"/>
      <c r="B7" s="55"/>
      <c r="C7" s="56"/>
      <c r="D7" s="55"/>
      <c r="E7" s="43"/>
    </row>
    <row r="8" spans="1:16" x14ac:dyDescent="0.2">
      <c r="A8" s="49"/>
      <c r="B8" s="42"/>
      <c r="C8" s="22" t="s">
        <v>60</v>
      </c>
      <c r="D8" s="23" t="s">
        <v>61</v>
      </c>
      <c r="E8" s="24" t="s">
        <v>62</v>
      </c>
      <c r="K8" t="s">
        <v>37</v>
      </c>
      <c r="L8" s="64">
        <f>SUM(M4:M6)/SUM(P4:P6)</f>
        <v>0.60367802395375492</v>
      </c>
    </row>
    <row r="9" spans="1:16" x14ac:dyDescent="0.2">
      <c r="A9" s="25">
        <v>2016</v>
      </c>
      <c r="B9" s="33">
        <v>13000</v>
      </c>
      <c r="C9" s="20">
        <v>360</v>
      </c>
      <c r="D9" s="28">
        <v>1425</v>
      </c>
      <c r="E9" s="6">
        <v>2850</v>
      </c>
    </row>
    <row r="10" spans="1:16" x14ac:dyDescent="0.2">
      <c r="A10" s="25">
        <v>2017</v>
      </c>
      <c r="B10" s="34">
        <v>13250</v>
      </c>
      <c r="C10" s="20">
        <v>375</v>
      </c>
      <c r="D10" s="28">
        <v>1375</v>
      </c>
      <c r="E10" s="21"/>
      <c r="K10" s="2" t="s">
        <v>77</v>
      </c>
      <c r="N10" s="67">
        <f>L8*L6*O6</f>
        <v>382.23238046222014</v>
      </c>
      <c r="O10" t="s">
        <v>79</v>
      </c>
    </row>
    <row r="11" spans="1:16" x14ac:dyDescent="0.2">
      <c r="A11" s="26">
        <v>2018</v>
      </c>
      <c r="B11" s="35">
        <v>13500</v>
      </c>
      <c r="C11" s="18">
        <v>350</v>
      </c>
      <c r="D11" s="18"/>
      <c r="E11" s="19"/>
      <c r="K11" s="2"/>
      <c r="N11" s="2"/>
    </row>
    <row r="12" spans="1:16" x14ac:dyDescent="0.2">
      <c r="K12" s="2" t="s">
        <v>78</v>
      </c>
      <c r="N12" s="2">
        <f>(C11-N10)/(SQRT(C20*N10))</f>
        <v>-8.0160138602675041E-2</v>
      </c>
      <c r="O12" t="s">
        <v>80</v>
      </c>
    </row>
    <row r="13" spans="1:16" x14ac:dyDescent="0.2">
      <c r="A13" s="3" t="s">
        <v>279</v>
      </c>
    </row>
    <row r="14" spans="1:16" x14ac:dyDescent="0.2">
      <c r="K14" s="2" t="s">
        <v>6</v>
      </c>
    </row>
    <row r="15" spans="1:16" x14ac:dyDescent="0.2">
      <c r="B15" s="20" t="s">
        <v>64</v>
      </c>
      <c r="C15" s="66">
        <v>1.448</v>
      </c>
    </row>
    <row r="16" spans="1:16" x14ac:dyDescent="0.2">
      <c r="B16" s="20" t="s">
        <v>65</v>
      </c>
      <c r="C16" s="66">
        <v>48.021000000000001</v>
      </c>
      <c r="K16" t="s">
        <v>81</v>
      </c>
    </row>
    <row r="18" spans="1:14" x14ac:dyDescent="0.2">
      <c r="A18" s="3" t="s">
        <v>66</v>
      </c>
      <c r="K18" t="s">
        <v>82</v>
      </c>
      <c r="M18">
        <f>114^$C$15/(114^$C$15+$C$16^$C$15)</f>
        <v>0.77762563483392433</v>
      </c>
    </row>
    <row r="19" spans="1:14" x14ac:dyDescent="0.2">
      <c r="A19" s="3" t="s">
        <v>67</v>
      </c>
    </row>
    <row r="20" spans="1:14" x14ac:dyDescent="0.2">
      <c r="A20" s="3" t="s">
        <v>68</v>
      </c>
      <c r="C20" s="1">
        <v>423</v>
      </c>
      <c r="K20" t="s">
        <v>83</v>
      </c>
      <c r="M20">
        <f>M18-O4</f>
        <v>0.44163179852181861</v>
      </c>
    </row>
    <row r="22" spans="1:14" x14ac:dyDescent="0.2">
      <c r="A22" s="1" t="s">
        <v>9</v>
      </c>
      <c r="B22" s="1" t="s">
        <v>28</v>
      </c>
      <c r="C22" t="s">
        <v>69</v>
      </c>
      <c r="K22" t="s">
        <v>84</v>
      </c>
      <c r="M22" s="63">
        <f>L8*L4*M20</f>
        <v>3465.8443488083253</v>
      </c>
      <c r="N22" t="s">
        <v>85</v>
      </c>
    </row>
    <row r="23" spans="1:14" x14ac:dyDescent="0.2">
      <c r="A23" s="1"/>
      <c r="B23" s="1"/>
      <c r="C23" t="s">
        <v>70</v>
      </c>
    </row>
    <row r="24" spans="1:14" x14ac:dyDescent="0.2">
      <c r="A24" s="1"/>
      <c r="B24" s="1"/>
      <c r="K24" s="2" t="s">
        <v>86</v>
      </c>
      <c r="L24" s="2"/>
      <c r="M24" s="67">
        <f>M22+E9</f>
        <v>6315.8443488083249</v>
      </c>
    </row>
    <row r="25" spans="1:14" x14ac:dyDescent="0.2">
      <c r="A25" s="1" t="s">
        <v>2</v>
      </c>
      <c r="B25" s="1" t="s">
        <v>29</v>
      </c>
      <c r="C25" t="s">
        <v>71</v>
      </c>
    </row>
  </sheetData>
  <mergeCells count="3">
    <mergeCell ref="B6:B8"/>
    <mergeCell ref="A6:A8"/>
    <mergeCell ref="C6:E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CA44C-F374-2A43-9780-447C8015223F}">
  <dimension ref="A1:Q20"/>
  <sheetViews>
    <sheetView workbookViewId="0"/>
  </sheetViews>
  <sheetFormatPr baseColWidth="10" defaultRowHeight="16" outlineLevelCol="1" x14ac:dyDescent="0.2"/>
  <cols>
    <col min="2" max="2" width="16.6640625" customWidth="1"/>
    <col min="4" max="4" width="11.83203125" bestFit="1" customWidth="1"/>
    <col min="5" max="5" width="10.83203125" customWidth="1"/>
    <col min="7" max="7" width="11.5" customWidth="1"/>
    <col min="11" max="11" width="13.6640625" hidden="1" customWidth="1" outlineLevel="1"/>
    <col min="12" max="12" width="11" hidden="1" customWidth="1" outlineLevel="1"/>
    <col min="13" max="13" width="11.83203125" hidden="1" customWidth="1" outlineLevel="1"/>
    <col min="14" max="15" width="10.83203125" hidden="1" customWidth="1" outlineLevel="1"/>
    <col min="16" max="16" width="12" hidden="1" customWidth="1" outlineLevel="1"/>
    <col min="17" max="17" width="10.83203125" collapsed="1"/>
  </cols>
  <sheetData>
    <row r="1" spans="1:16" x14ac:dyDescent="0.2">
      <c r="A1" s="2" t="s">
        <v>0</v>
      </c>
      <c r="B1" s="1" t="s">
        <v>23</v>
      </c>
      <c r="C1" s="1" t="s">
        <v>10</v>
      </c>
      <c r="D1" s="1" t="s">
        <v>87</v>
      </c>
      <c r="J1" s="2" t="s">
        <v>4</v>
      </c>
      <c r="K1" s="2" t="s">
        <v>5</v>
      </c>
      <c r="L1" s="5"/>
      <c r="M1" s="5"/>
      <c r="N1" s="5"/>
      <c r="O1" s="5"/>
      <c r="P1" s="5"/>
    </row>
    <row r="2" spans="1:16" x14ac:dyDescent="0.2">
      <c r="A2" s="2" t="s">
        <v>1</v>
      </c>
      <c r="B2" s="4">
        <v>1.25</v>
      </c>
      <c r="K2" s="5"/>
      <c r="L2" s="5"/>
      <c r="M2" s="5"/>
      <c r="N2" s="5"/>
      <c r="O2" s="5"/>
      <c r="P2" s="5"/>
    </row>
    <row r="3" spans="1:16" x14ac:dyDescent="0.2">
      <c r="A3" s="2"/>
      <c r="B3" s="4"/>
      <c r="K3" t="s">
        <v>102</v>
      </c>
      <c r="L3" s="11"/>
    </row>
    <row r="4" spans="1:16" x14ac:dyDescent="0.2">
      <c r="A4" s="1" t="s">
        <v>9</v>
      </c>
      <c r="B4" s="1" t="s">
        <v>17</v>
      </c>
      <c r="C4" t="s">
        <v>88</v>
      </c>
      <c r="K4" t="s">
        <v>103</v>
      </c>
    </row>
    <row r="5" spans="1:16" x14ac:dyDescent="0.2">
      <c r="A5" s="1"/>
      <c r="B5" s="1"/>
      <c r="C5" t="s">
        <v>89</v>
      </c>
      <c r="K5" t="s">
        <v>104</v>
      </c>
    </row>
    <row r="6" spans="1:16" x14ac:dyDescent="0.2">
      <c r="A6" s="1"/>
      <c r="B6" s="1"/>
      <c r="C6" t="s">
        <v>90</v>
      </c>
    </row>
    <row r="7" spans="1:16" x14ac:dyDescent="0.2">
      <c r="A7" s="1"/>
      <c r="B7" s="1"/>
      <c r="K7" s="2" t="s">
        <v>6</v>
      </c>
    </row>
    <row r="8" spans="1:16" x14ac:dyDescent="0.2">
      <c r="A8" s="1" t="s">
        <v>91</v>
      </c>
      <c r="B8" s="1" t="s">
        <v>3</v>
      </c>
      <c r="C8" t="s">
        <v>92</v>
      </c>
    </row>
    <row r="9" spans="1:16" x14ac:dyDescent="0.2">
      <c r="A9" s="1"/>
      <c r="B9" s="1"/>
      <c r="C9" t="s">
        <v>93</v>
      </c>
      <c r="K9" t="s">
        <v>105</v>
      </c>
    </row>
    <row r="10" spans="1:16" x14ac:dyDescent="0.2">
      <c r="A10" s="1"/>
      <c r="B10" s="1"/>
      <c r="K10" t="s">
        <v>106</v>
      </c>
    </row>
    <row r="11" spans="1:16" x14ac:dyDescent="0.2">
      <c r="A11" s="1" t="s">
        <v>7</v>
      </c>
      <c r="B11" s="1" t="s">
        <v>3</v>
      </c>
      <c r="C11" t="s">
        <v>94</v>
      </c>
    </row>
    <row r="12" spans="1:16" x14ac:dyDescent="0.2">
      <c r="C12" t="s">
        <v>95</v>
      </c>
      <c r="K12" t="s">
        <v>107</v>
      </c>
    </row>
    <row r="13" spans="1:16" x14ac:dyDescent="0.2">
      <c r="C13" t="s">
        <v>96</v>
      </c>
    </row>
    <row r="14" spans="1:16" x14ac:dyDescent="0.2">
      <c r="C14" t="s">
        <v>97</v>
      </c>
      <c r="K14" s="2" t="s">
        <v>8</v>
      </c>
    </row>
    <row r="16" spans="1:16" x14ac:dyDescent="0.2">
      <c r="C16" t="s">
        <v>98</v>
      </c>
      <c r="K16" t="s">
        <v>109</v>
      </c>
    </row>
    <row r="17" spans="3:11" x14ac:dyDescent="0.2">
      <c r="C17" t="s">
        <v>99</v>
      </c>
      <c r="K17" t="s">
        <v>108</v>
      </c>
    </row>
    <row r="19" spans="3:11" x14ac:dyDescent="0.2">
      <c r="C19" t="s">
        <v>100</v>
      </c>
      <c r="K19" t="s">
        <v>110</v>
      </c>
    </row>
    <row r="20" spans="3:11" x14ac:dyDescent="0.2">
      <c r="C20" t="s">
        <v>101</v>
      </c>
      <c r="K20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7317F-EBB5-BE47-9C00-2B81FB154C52}">
  <dimension ref="A1:S18"/>
  <sheetViews>
    <sheetView workbookViewId="0"/>
  </sheetViews>
  <sheetFormatPr baseColWidth="10" defaultRowHeight="16" outlineLevelCol="1" x14ac:dyDescent="0.2"/>
  <cols>
    <col min="2" max="2" width="16.6640625" customWidth="1"/>
    <col min="4" max="4" width="11.83203125" bestFit="1" customWidth="1"/>
    <col min="5" max="5" width="10.83203125" customWidth="1"/>
    <col min="7" max="7" width="11.5" customWidth="1"/>
    <col min="11" max="11" width="13.6640625" hidden="1" customWidth="1" outlineLevel="1"/>
    <col min="12" max="12" width="11" hidden="1" customWidth="1" outlineLevel="1"/>
    <col min="13" max="13" width="11.83203125" hidden="1" customWidth="1" outlineLevel="1"/>
    <col min="14" max="15" width="10.83203125" hidden="1" customWidth="1" outlineLevel="1"/>
    <col min="16" max="16" width="12" hidden="1" customWidth="1" outlineLevel="1"/>
    <col min="17" max="18" width="10.83203125" hidden="1" customWidth="1" outlineLevel="1"/>
    <col min="19" max="19" width="10.83203125" collapsed="1"/>
  </cols>
  <sheetData>
    <row r="1" spans="1:17" x14ac:dyDescent="0.2">
      <c r="A1" s="2" t="s">
        <v>0</v>
      </c>
      <c r="B1" s="1" t="s">
        <v>12</v>
      </c>
      <c r="C1" s="1" t="s">
        <v>10</v>
      </c>
      <c r="D1" s="1" t="s">
        <v>117</v>
      </c>
      <c r="J1" s="2" t="s">
        <v>4</v>
      </c>
      <c r="K1" t="s">
        <v>280</v>
      </c>
    </row>
    <row r="2" spans="1:17" x14ac:dyDescent="0.2">
      <c r="A2" s="2" t="s">
        <v>1</v>
      </c>
      <c r="B2" s="4">
        <v>1.5</v>
      </c>
      <c r="K2" t="s">
        <v>123</v>
      </c>
    </row>
    <row r="3" spans="1:17" x14ac:dyDescent="0.2">
      <c r="A3" s="2"/>
      <c r="B3" s="4"/>
    </row>
    <row r="4" spans="1:17" x14ac:dyDescent="0.2">
      <c r="A4" s="16" t="s">
        <v>118</v>
      </c>
      <c r="B4" s="1"/>
      <c r="K4" t="s">
        <v>16</v>
      </c>
      <c r="L4" t="s">
        <v>72</v>
      </c>
      <c r="M4" t="s">
        <v>73</v>
      </c>
      <c r="N4" t="s">
        <v>74</v>
      </c>
      <c r="O4" t="s">
        <v>75</v>
      </c>
      <c r="P4" t="s">
        <v>124</v>
      </c>
      <c r="Q4" t="s">
        <v>115</v>
      </c>
    </row>
    <row r="5" spans="1:17" x14ac:dyDescent="0.2">
      <c r="A5" s="1"/>
      <c r="B5" s="1"/>
      <c r="K5">
        <v>2012</v>
      </c>
      <c r="L5" s="60">
        <f>B9</f>
        <v>1000</v>
      </c>
      <c r="M5" s="60">
        <f>C9</f>
        <v>400</v>
      </c>
      <c r="N5">
        <v>54</v>
      </c>
      <c r="O5">
        <f>N5^1.8/(N5^1.8+50^1.8)</f>
        <v>0.53457718998394377</v>
      </c>
      <c r="P5">
        <f>O5*L5</f>
        <v>534.57718998394375</v>
      </c>
      <c r="Q5">
        <f>M5/P5</f>
        <v>0.74825489656978095</v>
      </c>
    </row>
    <row r="6" spans="1:17" x14ac:dyDescent="0.2">
      <c r="A6" s="44" t="s">
        <v>24</v>
      </c>
      <c r="B6" s="53" t="s">
        <v>113</v>
      </c>
      <c r="C6" s="46" t="s">
        <v>119</v>
      </c>
      <c r="D6" s="69"/>
      <c r="K6">
        <v>2013</v>
      </c>
      <c r="L6" s="60">
        <f t="shared" ref="L6:M9" si="0">B10</f>
        <v>1300</v>
      </c>
      <c r="M6" s="60">
        <f t="shared" si="0"/>
        <v>450</v>
      </c>
      <c r="N6">
        <v>42</v>
      </c>
      <c r="O6">
        <f t="shared" ref="O6:O9" si="1">N6^1.8/(N6^1.8+50^1.8)</f>
        <v>0.42217866837047474</v>
      </c>
      <c r="P6">
        <f t="shared" ref="P6:P9" si="2">O6*L6</f>
        <v>548.83226888161721</v>
      </c>
      <c r="Q6">
        <f t="shared" ref="Q6:Q9" si="3">M6/P6</f>
        <v>0.81992263486435912</v>
      </c>
    </row>
    <row r="7" spans="1:17" x14ac:dyDescent="0.2">
      <c r="A7" s="54"/>
      <c r="B7" s="55"/>
      <c r="C7" s="43"/>
      <c r="D7" s="70"/>
      <c r="K7">
        <v>2014</v>
      </c>
      <c r="L7" s="60">
        <f t="shared" si="0"/>
        <v>1600</v>
      </c>
      <c r="M7" s="60">
        <f t="shared" si="0"/>
        <v>400</v>
      </c>
      <c r="N7">
        <v>30</v>
      </c>
      <c r="O7">
        <f t="shared" si="1"/>
        <v>0.28506261189441229</v>
      </c>
      <c r="P7">
        <f t="shared" si="2"/>
        <v>456.10017903105967</v>
      </c>
      <c r="Q7">
        <f t="shared" si="3"/>
        <v>0.87700031350516239</v>
      </c>
    </row>
    <row r="8" spans="1:17" x14ac:dyDescent="0.2">
      <c r="A8" s="45"/>
      <c r="B8" s="42"/>
      <c r="C8" s="40"/>
      <c r="D8" s="70"/>
      <c r="K8">
        <v>2015</v>
      </c>
      <c r="L8" s="60">
        <f t="shared" si="0"/>
        <v>1900</v>
      </c>
      <c r="M8" s="60">
        <f t="shared" si="0"/>
        <v>250</v>
      </c>
      <c r="N8">
        <v>18</v>
      </c>
      <c r="O8">
        <f t="shared" si="1"/>
        <v>0.13717288862749721</v>
      </c>
      <c r="P8">
        <f t="shared" si="2"/>
        <v>260.62848839224472</v>
      </c>
      <c r="Q8">
        <f t="shared" si="3"/>
        <v>0.95921977502225741</v>
      </c>
    </row>
    <row r="9" spans="1:17" x14ac:dyDescent="0.2">
      <c r="A9" s="25">
        <v>2012</v>
      </c>
      <c r="B9" s="28">
        <v>1000</v>
      </c>
      <c r="C9" s="21">
        <v>400</v>
      </c>
      <c r="D9" s="68"/>
      <c r="K9">
        <v>2016</v>
      </c>
      <c r="L9" s="60">
        <f t="shared" si="0"/>
        <v>2200</v>
      </c>
      <c r="M9" s="60">
        <f t="shared" si="0"/>
        <v>50</v>
      </c>
      <c r="N9">
        <v>6</v>
      </c>
      <c r="O9">
        <f t="shared" si="1"/>
        <v>2.1531442060205602E-2</v>
      </c>
      <c r="P9">
        <f t="shared" si="2"/>
        <v>47.369172532452325</v>
      </c>
      <c r="Q9">
        <f t="shared" si="3"/>
        <v>1.0555388098820031</v>
      </c>
    </row>
    <row r="10" spans="1:17" x14ac:dyDescent="0.2">
      <c r="A10" s="25">
        <v>2013</v>
      </c>
      <c r="B10" s="28">
        <v>1300</v>
      </c>
      <c r="C10" s="21">
        <v>450</v>
      </c>
      <c r="D10" s="68"/>
    </row>
    <row r="11" spans="1:17" x14ac:dyDescent="0.2">
      <c r="A11" s="25">
        <v>2014</v>
      </c>
      <c r="B11" s="28">
        <v>1600</v>
      </c>
      <c r="C11" s="21">
        <v>400</v>
      </c>
      <c r="D11" s="68"/>
      <c r="K11" t="s">
        <v>116</v>
      </c>
    </row>
    <row r="12" spans="1:17" x14ac:dyDescent="0.2">
      <c r="A12" s="25">
        <v>2015</v>
      </c>
      <c r="B12" s="28">
        <v>1900</v>
      </c>
      <c r="C12" s="21">
        <v>250</v>
      </c>
      <c r="D12" s="68"/>
      <c r="K12" t="s">
        <v>125</v>
      </c>
    </row>
    <row r="13" spans="1:17" x14ac:dyDescent="0.2">
      <c r="A13" s="26">
        <v>2016</v>
      </c>
      <c r="B13" s="29">
        <v>2200</v>
      </c>
      <c r="C13" s="19">
        <v>50</v>
      </c>
      <c r="D13" s="68"/>
    </row>
    <row r="15" spans="1:17" x14ac:dyDescent="0.2">
      <c r="A15" s="3" t="s">
        <v>19</v>
      </c>
      <c r="B15" t="s">
        <v>120</v>
      </c>
    </row>
    <row r="16" spans="1:17" x14ac:dyDescent="0.2">
      <c r="B16" t="s">
        <v>121</v>
      </c>
    </row>
    <row r="18" spans="1:1" x14ac:dyDescent="0.2">
      <c r="A18" t="s">
        <v>122</v>
      </c>
    </row>
  </sheetData>
  <mergeCells count="3">
    <mergeCell ref="A6:A8"/>
    <mergeCell ref="B6:B8"/>
    <mergeCell ref="C6:C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65A2C-2823-A94F-8E87-E4DD7E41B12F}">
  <dimension ref="A1:S40"/>
  <sheetViews>
    <sheetView workbookViewId="0"/>
  </sheetViews>
  <sheetFormatPr baseColWidth="10" defaultRowHeight="16" outlineLevelCol="1" x14ac:dyDescent="0.2"/>
  <cols>
    <col min="2" max="2" width="16.6640625" customWidth="1"/>
    <col min="4" max="4" width="11.83203125" bestFit="1" customWidth="1"/>
    <col min="5" max="5" width="10.83203125" customWidth="1"/>
    <col min="7" max="7" width="11.5" customWidth="1"/>
    <col min="11" max="11" width="13.6640625" hidden="1" customWidth="1" outlineLevel="1"/>
    <col min="12" max="12" width="14.1640625" hidden="1" customWidth="1" outlineLevel="1"/>
    <col min="13" max="13" width="11.83203125" hidden="1" customWidth="1" outlineLevel="1"/>
    <col min="14" max="15" width="10.83203125" hidden="1" customWidth="1" outlineLevel="1"/>
    <col min="16" max="16" width="12" hidden="1" customWidth="1" outlineLevel="1"/>
    <col min="17" max="18" width="10.83203125" hidden="1" customWidth="1" outlineLevel="1"/>
    <col min="19" max="19" width="10.83203125" collapsed="1"/>
  </cols>
  <sheetData>
    <row r="1" spans="1:16" x14ac:dyDescent="0.2">
      <c r="A1" s="2" t="s">
        <v>0</v>
      </c>
      <c r="B1" s="1" t="s">
        <v>12</v>
      </c>
      <c r="C1" s="1" t="s">
        <v>10</v>
      </c>
      <c r="D1" s="1" t="s">
        <v>31</v>
      </c>
      <c r="J1" s="2" t="s">
        <v>4</v>
      </c>
      <c r="K1" s="2" t="s">
        <v>5</v>
      </c>
    </row>
    <row r="2" spans="1:16" x14ac:dyDescent="0.2">
      <c r="A2" s="2" t="s">
        <v>1</v>
      </c>
      <c r="B2" s="4">
        <v>3</v>
      </c>
    </row>
    <row r="3" spans="1:16" x14ac:dyDescent="0.2">
      <c r="A3" s="2"/>
      <c r="B3" s="4"/>
      <c r="K3" s="8" t="s">
        <v>140</v>
      </c>
    </row>
    <row r="4" spans="1:16" x14ac:dyDescent="0.2">
      <c r="A4" s="16" t="s">
        <v>126</v>
      </c>
      <c r="B4" s="1"/>
    </row>
    <row r="5" spans="1:16" x14ac:dyDescent="0.2">
      <c r="A5" s="1"/>
      <c r="B5" s="1"/>
      <c r="K5" t="s">
        <v>16</v>
      </c>
      <c r="L5" s="60" t="s">
        <v>72</v>
      </c>
      <c r="M5" s="60" t="s">
        <v>73</v>
      </c>
      <c r="N5" t="s">
        <v>74</v>
      </c>
      <c r="O5" t="s">
        <v>75</v>
      </c>
      <c r="P5" t="s">
        <v>124</v>
      </c>
    </row>
    <row r="6" spans="1:16" x14ac:dyDescent="0.2">
      <c r="A6" s="44" t="s">
        <v>24</v>
      </c>
      <c r="B6" s="53" t="s">
        <v>127</v>
      </c>
      <c r="C6" s="46" t="s">
        <v>128</v>
      </c>
      <c r="D6" s="69"/>
      <c r="K6">
        <v>2014</v>
      </c>
      <c r="L6" s="60">
        <f>B9</f>
        <v>400000</v>
      </c>
      <c r="M6" s="60">
        <f>C9</f>
        <v>210000</v>
      </c>
      <c r="N6">
        <v>30</v>
      </c>
      <c r="O6">
        <f>N6^1.5/(N6^1.5+15^1.5)</f>
        <v>0.73879612503625858</v>
      </c>
      <c r="P6">
        <f>L6*O6</f>
        <v>295518.45001450344</v>
      </c>
    </row>
    <row r="7" spans="1:16" x14ac:dyDescent="0.2">
      <c r="A7" s="54"/>
      <c r="B7" s="55"/>
      <c r="C7" s="43"/>
      <c r="D7" s="70"/>
      <c r="K7">
        <v>2015</v>
      </c>
      <c r="L7" s="60">
        <f t="shared" ref="L7:M8" si="0">B10</f>
        <v>375000</v>
      </c>
      <c r="M7" s="60">
        <f t="shared" si="0"/>
        <v>130000</v>
      </c>
      <c r="N7">
        <v>18</v>
      </c>
      <c r="O7">
        <f>N7^1.5/(N7^1.5+15^1.5)</f>
        <v>0.56794761262033144</v>
      </c>
      <c r="P7">
        <f t="shared" ref="P7:P8" si="1">L7*O7</f>
        <v>212980.35473262428</v>
      </c>
    </row>
    <row r="8" spans="1:16" x14ac:dyDescent="0.2">
      <c r="A8" s="45"/>
      <c r="B8" s="42"/>
      <c r="C8" s="40"/>
      <c r="D8" s="70"/>
      <c r="K8">
        <v>2016</v>
      </c>
      <c r="L8" s="60">
        <f t="shared" si="0"/>
        <v>450000</v>
      </c>
      <c r="M8" s="60">
        <f t="shared" si="0"/>
        <v>50000</v>
      </c>
      <c r="N8">
        <v>6</v>
      </c>
      <c r="O8">
        <f>N8^1.5/(N8^1.5+15^1.5)</f>
        <v>0.20190407351866496</v>
      </c>
      <c r="P8">
        <f t="shared" si="1"/>
        <v>90856.833083399237</v>
      </c>
    </row>
    <row r="9" spans="1:16" x14ac:dyDescent="0.2">
      <c r="A9" s="25">
        <v>2014</v>
      </c>
      <c r="B9" s="71">
        <v>400000</v>
      </c>
      <c r="C9" s="72">
        <v>210000</v>
      </c>
      <c r="D9" s="68"/>
      <c r="L9" s="60"/>
      <c r="M9" s="60"/>
    </row>
    <row r="10" spans="1:16" x14ac:dyDescent="0.2">
      <c r="A10" s="25">
        <v>2015</v>
      </c>
      <c r="B10" s="71">
        <v>375000</v>
      </c>
      <c r="C10" s="72">
        <v>130000</v>
      </c>
      <c r="D10" s="68"/>
      <c r="K10" t="s">
        <v>37</v>
      </c>
      <c r="L10">
        <f>SUM(M6:M8)/SUM(P6:P8)</f>
        <v>0.65069880949426551</v>
      </c>
    </row>
    <row r="11" spans="1:16" x14ac:dyDescent="0.2">
      <c r="A11" s="26">
        <v>2016</v>
      </c>
      <c r="B11" s="73">
        <v>450000</v>
      </c>
      <c r="C11" s="74">
        <v>50000</v>
      </c>
      <c r="D11" s="68"/>
    </row>
    <row r="12" spans="1:16" x14ac:dyDescent="0.2">
      <c r="K12" s="8" t="s">
        <v>142</v>
      </c>
    </row>
    <row r="13" spans="1:16" x14ac:dyDescent="0.2">
      <c r="A13" s="3" t="s">
        <v>19</v>
      </c>
      <c r="B13" t="s">
        <v>129</v>
      </c>
    </row>
    <row r="14" spans="1:16" x14ac:dyDescent="0.2">
      <c r="B14" t="s">
        <v>121</v>
      </c>
      <c r="K14" t="s">
        <v>16</v>
      </c>
      <c r="L14" t="s">
        <v>141</v>
      </c>
    </row>
    <row r="15" spans="1:16" x14ac:dyDescent="0.2">
      <c r="K15">
        <v>2014</v>
      </c>
      <c r="L15">
        <f>$L$10*L6*(1-O6)</f>
        <v>67986.020189678209</v>
      </c>
    </row>
    <row r="16" spans="1:16" x14ac:dyDescent="0.2">
      <c r="A16" s="3" t="s">
        <v>130</v>
      </c>
      <c r="F16" s="15">
        <v>175000</v>
      </c>
      <c r="K16">
        <v>2015</v>
      </c>
      <c r="L16">
        <f t="shared" ref="L16:L17" si="2">$L$10*L7*(1-O7)</f>
        <v>105425.99029016458</v>
      </c>
    </row>
    <row r="17" spans="1:17" x14ac:dyDescent="0.2">
      <c r="A17" s="3" t="s">
        <v>131</v>
      </c>
      <c r="F17" s="15">
        <v>3000</v>
      </c>
      <c r="K17">
        <v>2016</v>
      </c>
      <c r="L17">
        <f t="shared" si="2"/>
        <v>233694.03115063236</v>
      </c>
    </row>
    <row r="19" spans="1:17" x14ac:dyDescent="0.2">
      <c r="A19" s="1" t="s">
        <v>9</v>
      </c>
      <c r="B19" s="1" t="s">
        <v>114</v>
      </c>
      <c r="C19" t="s">
        <v>132</v>
      </c>
      <c r="K19" t="s">
        <v>25</v>
      </c>
      <c r="L19">
        <f>SUM(L15:L17)</f>
        <v>407106.04163047514</v>
      </c>
    </row>
    <row r="20" spans="1:17" x14ac:dyDescent="0.2">
      <c r="A20" s="1"/>
      <c r="B20" s="1"/>
      <c r="C20" t="s">
        <v>133</v>
      </c>
    </row>
    <row r="21" spans="1:17" x14ac:dyDescent="0.2">
      <c r="A21" s="1"/>
      <c r="B21" s="1"/>
      <c r="K21" s="8" t="s">
        <v>143</v>
      </c>
    </row>
    <row r="22" spans="1:17" x14ac:dyDescent="0.2">
      <c r="A22" s="1" t="s">
        <v>2</v>
      </c>
      <c r="B22" s="1" t="s">
        <v>15</v>
      </c>
      <c r="C22" t="s">
        <v>134</v>
      </c>
    </row>
    <row r="23" spans="1:17" x14ac:dyDescent="0.2">
      <c r="A23" s="1"/>
      <c r="B23" s="1"/>
      <c r="C23" t="s">
        <v>135</v>
      </c>
      <c r="K23" t="s">
        <v>144</v>
      </c>
      <c r="L23">
        <f>L19*F17</f>
        <v>1221318124.8914254</v>
      </c>
    </row>
    <row r="24" spans="1:17" x14ac:dyDescent="0.2">
      <c r="A24" s="1"/>
      <c r="B24" s="1"/>
      <c r="C24" t="s">
        <v>136</v>
      </c>
      <c r="K24" t="s">
        <v>145</v>
      </c>
      <c r="L24" s="60">
        <f>F16^2</f>
        <v>30625000000</v>
      </c>
    </row>
    <row r="25" spans="1:17" x14ac:dyDescent="0.2">
      <c r="A25" s="1"/>
      <c r="B25" s="1"/>
    </row>
    <row r="26" spans="1:17" x14ac:dyDescent="0.2">
      <c r="A26" s="1" t="s">
        <v>7</v>
      </c>
      <c r="B26" s="1" t="s">
        <v>3</v>
      </c>
      <c r="C26" t="s">
        <v>137</v>
      </c>
      <c r="K26" s="2" t="s">
        <v>50</v>
      </c>
      <c r="L26" s="75">
        <f>SQRT(L23+L24)</f>
        <v>178455.36731881008</v>
      </c>
    </row>
    <row r="27" spans="1:17" x14ac:dyDescent="0.2">
      <c r="C27" t="s">
        <v>138</v>
      </c>
    </row>
    <row r="28" spans="1:17" x14ac:dyDescent="0.2">
      <c r="C28" t="s">
        <v>139</v>
      </c>
      <c r="K28" s="2" t="s">
        <v>6</v>
      </c>
    </row>
    <row r="30" spans="1:17" x14ac:dyDescent="0.2">
      <c r="K30" t="s">
        <v>16</v>
      </c>
      <c r="L30" t="s">
        <v>73</v>
      </c>
      <c r="M30" t="s">
        <v>75</v>
      </c>
      <c r="N30" t="s">
        <v>147</v>
      </c>
      <c r="O30" t="s">
        <v>148</v>
      </c>
      <c r="P30" t="s">
        <v>149</v>
      </c>
    </row>
    <row r="31" spans="1:17" x14ac:dyDescent="0.2">
      <c r="K31">
        <v>2014</v>
      </c>
      <c r="L31" s="60">
        <f>M6</f>
        <v>210000</v>
      </c>
      <c r="M31">
        <f>O6</f>
        <v>0.73879612503625858</v>
      </c>
      <c r="N31">
        <f>L15</f>
        <v>67986.020189678209</v>
      </c>
      <c r="O31">
        <f>L31/M31-L31</f>
        <v>74246.212024587498</v>
      </c>
      <c r="P31">
        <f>O31*O6+(1-O6)*N31</f>
        <v>72611.02565929282</v>
      </c>
      <c r="Q31" t="s">
        <v>151</v>
      </c>
    </row>
    <row r="32" spans="1:17" x14ac:dyDescent="0.2">
      <c r="K32">
        <v>2015</v>
      </c>
      <c r="L32" s="60">
        <f t="shared" ref="L32:L33" si="3">M7</f>
        <v>130000</v>
      </c>
      <c r="M32">
        <f t="shared" ref="M32:M33" si="4">O7</f>
        <v>0.56794761262033144</v>
      </c>
      <c r="N32">
        <f t="shared" ref="N32:N33" si="5">L16</f>
        <v>105425.99029016458</v>
      </c>
      <c r="O32">
        <f t="shared" ref="O32:O33" si="6">L32/M32-L32</f>
        <v>98894.350660655007</v>
      </c>
      <c r="P32">
        <f t="shared" ref="P32:P33" si="7">O32*O7+(1-O7)*N32</f>
        <v>101716.36115608827</v>
      </c>
      <c r="Q32" t="s">
        <v>151</v>
      </c>
    </row>
    <row r="33" spans="11:17" x14ac:dyDescent="0.2">
      <c r="K33">
        <v>2016</v>
      </c>
      <c r="L33" s="60">
        <f t="shared" si="3"/>
        <v>50000</v>
      </c>
      <c r="M33">
        <f t="shared" si="4"/>
        <v>0.20190407351866496</v>
      </c>
      <c r="N33">
        <f t="shared" si="5"/>
        <v>233694.03115063236</v>
      </c>
      <c r="O33">
        <f t="shared" si="6"/>
        <v>197642.35376052363</v>
      </c>
      <c r="P33">
        <f t="shared" si="7"/>
        <v>226415.05062838865</v>
      </c>
      <c r="Q33" t="s">
        <v>151</v>
      </c>
    </row>
    <row r="35" spans="11:17" x14ac:dyDescent="0.2">
      <c r="K35" s="2" t="s">
        <v>150</v>
      </c>
      <c r="L35" s="75">
        <f>SUM(P31:P33)</f>
        <v>400742.43744376977</v>
      </c>
    </row>
    <row r="37" spans="11:17" x14ac:dyDescent="0.2">
      <c r="K37" s="2" t="s">
        <v>8</v>
      </c>
    </row>
    <row r="39" spans="11:17" x14ac:dyDescent="0.2">
      <c r="K39" t="s">
        <v>152</v>
      </c>
    </row>
    <row r="40" spans="11:17" x14ac:dyDescent="0.2">
      <c r="K40" t="s">
        <v>153</v>
      </c>
    </row>
  </sheetData>
  <mergeCells count="3">
    <mergeCell ref="A6:A8"/>
    <mergeCell ref="B6:B8"/>
    <mergeCell ref="C6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0BB4-B680-F549-9F05-8658203E6B6F}">
  <dimension ref="A1:S47"/>
  <sheetViews>
    <sheetView workbookViewId="0"/>
  </sheetViews>
  <sheetFormatPr baseColWidth="10" defaultRowHeight="16" outlineLevelCol="1" x14ac:dyDescent="0.2"/>
  <cols>
    <col min="2" max="2" width="16.6640625" customWidth="1"/>
    <col min="3" max="3" width="12" customWidth="1"/>
    <col min="4" max="4" width="11.83203125" bestFit="1" customWidth="1"/>
    <col min="5" max="5" width="10.83203125" customWidth="1"/>
    <col min="7" max="7" width="11.5" customWidth="1"/>
    <col min="11" max="11" width="13.6640625" hidden="1" customWidth="1" outlineLevel="1"/>
    <col min="12" max="12" width="16.5" hidden="1" customWidth="1" outlineLevel="1"/>
    <col min="13" max="13" width="11.83203125" hidden="1" customWidth="1" outlineLevel="1"/>
    <col min="14" max="15" width="10.83203125" hidden="1" customWidth="1" outlineLevel="1"/>
    <col min="16" max="16" width="12" hidden="1" customWidth="1" outlineLevel="1"/>
    <col min="17" max="18" width="10.83203125" hidden="1" customWidth="1" outlineLevel="1"/>
    <col min="19" max="19" width="10.83203125" collapsed="1"/>
  </cols>
  <sheetData>
    <row r="1" spans="1:16" x14ac:dyDescent="0.2">
      <c r="A1" s="2" t="s">
        <v>0</v>
      </c>
      <c r="B1" s="1" t="s">
        <v>13</v>
      </c>
      <c r="C1" s="1" t="s">
        <v>10</v>
      </c>
      <c r="D1" s="1" t="s">
        <v>154</v>
      </c>
      <c r="J1" s="2" t="s">
        <v>4</v>
      </c>
      <c r="K1" s="2" t="s">
        <v>5</v>
      </c>
    </row>
    <row r="2" spans="1:16" x14ac:dyDescent="0.2">
      <c r="A2" s="2" t="s">
        <v>1</v>
      </c>
      <c r="B2" s="4">
        <v>2.5</v>
      </c>
    </row>
    <row r="3" spans="1:16" x14ac:dyDescent="0.2">
      <c r="A3" s="2"/>
      <c r="B3" s="4"/>
      <c r="K3" s="8" t="s">
        <v>140</v>
      </c>
    </row>
    <row r="4" spans="1:16" x14ac:dyDescent="0.2">
      <c r="A4" s="16" t="s">
        <v>155</v>
      </c>
      <c r="B4" s="1"/>
    </row>
    <row r="5" spans="1:16" x14ac:dyDescent="0.2">
      <c r="A5" s="1"/>
      <c r="B5" s="1"/>
      <c r="K5" t="s">
        <v>16</v>
      </c>
      <c r="L5" s="60" t="s">
        <v>72</v>
      </c>
      <c r="M5" s="60" t="s">
        <v>73</v>
      </c>
      <c r="N5" t="s">
        <v>74</v>
      </c>
      <c r="O5" t="s">
        <v>75</v>
      </c>
      <c r="P5" t="s">
        <v>124</v>
      </c>
    </row>
    <row r="6" spans="1:16" x14ac:dyDescent="0.2">
      <c r="A6" s="44" t="s">
        <v>24</v>
      </c>
      <c r="B6" s="53" t="s">
        <v>127</v>
      </c>
      <c r="C6" s="53" t="s">
        <v>128</v>
      </c>
      <c r="D6" s="46" t="s">
        <v>156</v>
      </c>
      <c r="K6">
        <v>2013</v>
      </c>
      <c r="L6" s="60">
        <f>B9</f>
        <v>500000</v>
      </c>
      <c r="M6" s="60">
        <f>C9</f>
        <v>210000</v>
      </c>
      <c r="N6">
        <v>42</v>
      </c>
      <c r="O6" s="59">
        <f>D9</f>
        <v>0.65</v>
      </c>
      <c r="P6">
        <f>L6*O6</f>
        <v>325000</v>
      </c>
    </row>
    <row r="7" spans="1:16" x14ac:dyDescent="0.2">
      <c r="A7" s="54"/>
      <c r="B7" s="55"/>
      <c r="C7" s="55"/>
      <c r="D7" s="76"/>
      <c r="K7">
        <v>2014</v>
      </c>
      <c r="L7" s="60">
        <f t="shared" ref="L7:M9" si="0">B10</f>
        <v>600000</v>
      </c>
      <c r="M7" s="60">
        <f t="shared" si="0"/>
        <v>150000</v>
      </c>
      <c r="N7">
        <v>30</v>
      </c>
      <c r="O7" s="59">
        <f t="shared" ref="O7:O9" si="1">D10</f>
        <v>0.4</v>
      </c>
      <c r="P7">
        <f t="shared" ref="P7:P8" si="2">L7*O7</f>
        <v>240000</v>
      </c>
    </row>
    <row r="8" spans="1:16" x14ac:dyDescent="0.2">
      <c r="A8" s="45"/>
      <c r="B8" s="42"/>
      <c r="C8" s="42"/>
      <c r="D8" s="77"/>
      <c r="K8">
        <v>2015</v>
      </c>
      <c r="L8" s="60">
        <f t="shared" si="0"/>
        <v>550000</v>
      </c>
      <c r="M8" s="60">
        <f t="shared" si="0"/>
        <v>70000</v>
      </c>
      <c r="N8">
        <v>18</v>
      </c>
      <c r="O8" s="59">
        <f t="shared" si="1"/>
        <v>0.2</v>
      </c>
      <c r="P8">
        <f t="shared" si="2"/>
        <v>110000</v>
      </c>
    </row>
    <row r="9" spans="1:16" x14ac:dyDescent="0.2">
      <c r="A9" s="25">
        <v>2012</v>
      </c>
      <c r="B9" s="71">
        <v>500000</v>
      </c>
      <c r="C9" s="71">
        <v>210000</v>
      </c>
      <c r="D9" s="78">
        <v>0.65</v>
      </c>
      <c r="K9">
        <v>2016</v>
      </c>
      <c r="L9" s="60">
        <f t="shared" si="0"/>
        <v>650000</v>
      </c>
      <c r="M9" s="60">
        <f t="shared" si="0"/>
        <v>30000</v>
      </c>
      <c r="N9">
        <v>6</v>
      </c>
      <c r="O9" s="59">
        <f t="shared" si="1"/>
        <v>0.1</v>
      </c>
      <c r="P9">
        <f t="shared" ref="P9" si="3">L9*O9</f>
        <v>65000</v>
      </c>
    </row>
    <row r="10" spans="1:16" x14ac:dyDescent="0.2">
      <c r="A10" s="25">
        <v>2013</v>
      </c>
      <c r="B10" s="71">
        <v>600000</v>
      </c>
      <c r="C10" s="71">
        <v>150000</v>
      </c>
      <c r="D10" s="78">
        <v>0.4</v>
      </c>
      <c r="L10" s="60"/>
      <c r="M10" s="60"/>
    </row>
    <row r="11" spans="1:16" x14ac:dyDescent="0.2">
      <c r="A11" s="25">
        <v>2014</v>
      </c>
      <c r="B11" s="71">
        <v>550000</v>
      </c>
      <c r="C11" s="71">
        <v>70000</v>
      </c>
      <c r="D11" s="78">
        <v>0.2</v>
      </c>
      <c r="K11" t="s">
        <v>37</v>
      </c>
      <c r="L11">
        <f>SUM(M6:M9)/SUM(P6:P9)</f>
        <v>0.6216216216216216</v>
      </c>
    </row>
    <row r="12" spans="1:16" x14ac:dyDescent="0.2">
      <c r="A12" s="26">
        <v>2015</v>
      </c>
      <c r="B12" s="73">
        <v>650000</v>
      </c>
      <c r="C12" s="73">
        <v>30000</v>
      </c>
      <c r="D12" s="79">
        <v>0.1</v>
      </c>
    </row>
    <row r="13" spans="1:16" x14ac:dyDescent="0.2">
      <c r="K13" s="8" t="s">
        <v>142</v>
      </c>
    </row>
    <row r="14" spans="1:16" x14ac:dyDescent="0.2">
      <c r="A14" s="80" t="s">
        <v>157</v>
      </c>
    </row>
    <row r="15" spans="1:16" x14ac:dyDescent="0.2">
      <c r="A15" s="3" t="s">
        <v>159</v>
      </c>
      <c r="D15" s="15">
        <v>250000</v>
      </c>
      <c r="K15" t="s">
        <v>16</v>
      </c>
      <c r="L15" t="s">
        <v>141</v>
      </c>
    </row>
    <row r="16" spans="1:16" x14ac:dyDescent="0.2">
      <c r="A16" s="3" t="s">
        <v>158</v>
      </c>
      <c r="D16" s="15">
        <v>4000</v>
      </c>
    </row>
    <row r="17" spans="1:14" x14ac:dyDescent="0.2">
      <c r="A17" s="3"/>
      <c r="D17" s="15"/>
      <c r="K17">
        <v>2013</v>
      </c>
      <c r="L17">
        <f>L6*$L$11*(1-O6)</f>
        <v>108783.78378378379</v>
      </c>
    </row>
    <row r="18" spans="1:14" x14ac:dyDescent="0.2">
      <c r="A18" s="80" t="s">
        <v>160</v>
      </c>
      <c r="K18">
        <v>2014</v>
      </c>
      <c r="L18">
        <f t="shared" ref="L18:L20" si="4">L7*$L$11*(1-O7)</f>
        <v>223783.78378378376</v>
      </c>
    </row>
    <row r="19" spans="1:14" x14ac:dyDescent="0.2">
      <c r="A19" s="3" t="s">
        <v>159</v>
      </c>
      <c r="D19" s="15">
        <v>325000</v>
      </c>
      <c r="F19" s="15"/>
      <c r="K19">
        <v>2015</v>
      </c>
      <c r="L19">
        <f t="shared" si="4"/>
        <v>273513.51351351355</v>
      </c>
    </row>
    <row r="20" spans="1:14" x14ac:dyDescent="0.2">
      <c r="A20" s="3" t="s">
        <v>158</v>
      </c>
      <c r="D20" s="15">
        <v>4500</v>
      </c>
      <c r="F20" s="15"/>
      <c r="K20">
        <v>2016</v>
      </c>
      <c r="L20">
        <f t="shared" si="4"/>
        <v>363648.64864864864</v>
      </c>
    </row>
    <row r="22" spans="1:14" x14ac:dyDescent="0.2">
      <c r="A22" s="1" t="s">
        <v>9</v>
      </c>
      <c r="B22" s="1" t="s">
        <v>11</v>
      </c>
      <c r="C22" t="s">
        <v>161</v>
      </c>
      <c r="K22" t="s">
        <v>25</v>
      </c>
      <c r="L22">
        <f>SUM(L17:L20)</f>
        <v>969729.72972972982</v>
      </c>
    </row>
    <row r="23" spans="1:14" x14ac:dyDescent="0.2">
      <c r="A23" s="1"/>
      <c r="B23" s="1"/>
      <c r="C23" t="s">
        <v>162</v>
      </c>
    </row>
    <row r="24" spans="1:14" x14ac:dyDescent="0.2">
      <c r="A24" s="1"/>
      <c r="B24" s="1"/>
      <c r="K24" s="8" t="s">
        <v>143</v>
      </c>
    </row>
    <row r="25" spans="1:14" x14ac:dyDescent="0.2">
      <c r="A25" s="1" t="s">
        <v>2</v>
      </c>
      <c r="B25" s="1" t="s">
        <v>29</v>
      </c>
      <c r="C25" t="s">
        <v>161</v>
      </c>
    </row>
    <row r="26" spans="1:14" x14ac:dyDescent="0.2">
      <c r="A26" s="1"/>
      <c r="B26" s="1"/>
      <c r="C26" t="s">
        <v>163</v>
      </c>
      <c r="K26" t="s">
        <v>144</v>
      </c>
      <c r="L26">
        <f>L22*D16</f>
        <v>3878918918.9189191</v>
      </c>
    </row>
    <row r="27" spans="1:14" x14ac:dyDescent="0.2">
      <c r="A27" s="1"/>
      <c r="B27" s="1"/>
      <c r="K27" t="s">
        <v>145</v>
      </c>
      <c r="L27" s="60">
        <f>D15^2</f>
        <v>62500000000</v>
      </c>
    </row>
    <row r="28" spans="1:14" x14ac:dyDescent="0.2">
      <c r="A28" s="1" t="s">
        <v>7</v>
      </c>
      <c r="B28" s="1" t="s">
        <v>3</v>
      </c>
      <c r="C28" t="s">
        <v>164</v>
      </c>
      <c r="K28" s="2" t="s">
        <v>50</v>
      </c>
      <c r="L28" s="75">
        <f>SQRT(L26+L27)</f>
        <v>257641.06605686704</v>
      </c>
    </row>
    <row r="29" spans="1:14" x14ac:dyDescent="0.2">
      <c r="C29" t="s">
        <v>165</v>
      </c>
    </row>
    <row r="30" spans="1:14" x14ac:dyDescent="0.2">
      <c r="K30" s="2" t="s">
        <v>6</v>
      </c>
    </row>
    <row r="32" spans="1:14" x14ac:dyDescent="0.2">
      <c r="K32" t="s">
        <v>16</v>
      </c>
      <c r="L32" t="s">
        <v>73</v>
      </c>
      <c r="M32" t="s">
        <v>75</v>
      </c>
      <c r="N32" t="s">
        <v>166</v>
      </c>
    </row>
    <row r="33" spans="11:17" x14ac:dyDescent="0.2">
      <c r="K33">
        <v>2013</v>
      </c>
      <c r="L33" s="60">
        <f>C9</f>
        <v>210000</v>
      </c>
      <c r="M33">
        <f>O6</f>
        <v>0.65</v>
      </c>
      <c r="N33">
        <f>L33/M33-L33</f>
        <v>113076.92307692306</v>
      </c>
    </row>
    <row r="34" spans="11:17" x14ac:dyDescent="0.2">
      <c r="K34">
        <v>2014</v>
      </c>
      <c r="L34" s="60">
        <f t="shared" ref="L34:L35" si="5">C10</f>
        <v>150000</v>
      </c>
      <c r="M34">
        <f t="shared" ref="M34:M36" si="6">O7</f>
        <v>0.4</v>
      </c>
      <c r="N34">
        <f t="shared" ref="N34:N36" si="7">L34/M34-L34</f>
        <v>225000</v>
      </c>
    </row>
    <row r="35" spans="11:17" x14ac:dyDescent="0.2">
      <c r="K35">
        <v>2015</v>
      </c>
      <c r="L35" s="60">
        <f t="shared" si="5"/>
        <v>70000</v>
      </c>
      <c r="M35">
        <f t="shared" si="6"/>
        <v>0.2</v>
      </c>
      <c r="N35">
        <f t="shared" si="7"/>
        <v>280000</v>
      </c>
    </row>
    <row r="36" spans="11:17" x14ac:dyDescent="0.2">
      <c r="K36">
        <v>2016</v>
      </c>
      <c r="L36" s="60">
        <f>C12</f>
        <v>30000</v>
      </c>
      <c r="M36">
        <f t="shared" si="6"/>
        <v>0.1</v>
      </c>
      <c r="N36">
        <f t="shared" si="7"/>
        <v>270000</v>
      </c>
    </row>
    <row r="37" spans="11:17" x14ac:dyDescent="0.2">
      <c r="K37" s="5"/>
      <c r="L37" s="81"/>
      <c r="M37" s="5"/>
      <c r="N37" s="5"/>
      <c r="O37" s="5"/>
      <c r="P37" s="5"/>
      <c r="Q37" s="5"/>
    </row>
    <row r="38" spans="11:17" x14ac:dyDescent="0.2">
      <c r="K38" s="5" t="s">
        <v>25</v>
      </c>
      <c r="M38" s="5"/>
      <c r="N38" s="82">
        <f>SUM(N33:N36)</f>
        <v>888076.92307692301</v>
      </c>
      <c r="O38" s="5"/>
      <c r="P38" s="5"/>
      <c r="Q38" s="5"/>
    </row>
    <row r="39" spans="11:17" x14ac:dyDescent="0.2">
      <c r="K39" s="5"/>
      <c r="L39" s="5"/>
      <c r="M39" s="5"/>
      <c r="N39" s="5"/>
      <c r="O39" s="5"/>
      <c r="P39" s="5"/>
      <c r="Q39" s="5"/>
    </row>
    <row r="40" spans="11:17" x14ac:dyDescent="0.2">
      <c r="K40" s="5" t="s">
        <v>144</v>
      </c>
      <c r="L40" s="5">
        <f>N38*D20</f>
        <v>3996346153.8461537</v>
      </c>
      <c r="M40" s="5"/>
      <c r="N40" s="5"/>
      <c r="O40" s="5"/>
      <c r="P40" s="5"/>
      <c r="Q40" s="5"/>
    </row>
    <row r="41" spans="11:17" x14ac:dyDescent="0.2">
      <c r="K41" s="5" t="s">
        <v>145</v>
      </c>
      <c r="L41" s="82">
        <f>D19^2</f>
        <v>105625000000</v>
      </c>
      <c r="M41" s="5"/>
      <c r="N41" s="5"/>
      <c r="O41" s="5"/>
      <c r="P41" s="5"/>
      <c r="Q41" s="5"/>
    </row>
    <row r="42" spans="11:17" x14ac:dyDescent="0.2">
      <c r="K42" s="2" t="s">
        <v>50</v>
      </c>
      <c r="L42" s="75">
        <f>SQRT(L40+L41)</f>
        <v>331091.14478319435</v>
      </c>
      <c r="M42" s="5"/>
      <c r="N42" s="5"/>
      <c r="O42" s="5"/>
      <c r="P42" s="5"/>
      <c r="Q42" s="5"/>
    </row>
    <row r="44" spans="11:17" x14ac:dyDescent="0.2">
      <c r="K44" s="2" t="s">
        <v>8</v>
      </c>
    </row>
    <row r="46" spans="11:17" x14ac:dyDescent="0.2">
      <c r="K46" s="5" t="s">
        <v>167</v>
      </c>
    </row>
    <row r="47" spans="11:17" x14ac:dyDescent="0.2">
      <c r="K47" t="s">
        <v>168</v>
      </c>
    </row>
  </sheetData>
  <mergeCells count="4">
    <mergeCell ref="A6:A8"/>
    <mergeCell ref="B6:B8"/>
    <mergeCell ref="C6:C8"/>
    <mergeCell ref="D6:D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41098-0C4A-4949-BE08-860B49B9F948}">
  <dimension ref="A1:S23"/>
  <sheetViews>
    <sheetView workbookViewId="0"/>
  </sheetViews>
  <sheetFormatPr baseColWidth="10" defaultRowHeight="16" outlineLevelCol="1" x14ac:dyDescent="0.2"/>
  <cols>
    <col min="2" max="2" width="16.6640625" customWidth="1"/>
    <col min="4" max="4" width="11.83203125" bestFit="1" customWidth="1"/>
    <col min="5" max="5" width="10.83203125" customWidth="1"/>
    <col min="7" max="7" width="11.5" customWidth="1"/>
    <col min="11" max="11" width="15.5" hidden="1" customWidth="1" outlineLevel="1"/>
    <col min="12" max="12" width="11" hidden="1" customWidth="1" outlineLevel="1"/>
    <col min="13" max="13" width="11.83203125" hidden="1" customWidth="1" outlineLevel="1"/>
    <col min="14" max="15" width="10.83203125" hidden="1" customWidth="1" outlineLevel="1"/>
    <col min="16" max="16" width="12" hidden="1" customWidth="1" outlineLevel="1"/>
    <col min="17" max="18" width="10.83203125" hidden="1" customWidth="1" outlineLevel="1"/>
    <col min="19" max="19" width="10.83203125" collapsed="1"/>
  </cols>
  <sheetData>
    <row r="1" spans="1:17" x14ac:dyDescent="0.2">
      <c r="A1" s="2" t="s">
        <v>0</v>
      </c>
      <c r="B1" s="1" t="s">
        <v>13</v>
      </c>
      <c r="C1" s="1" t="s">
        <v>10</v>
      </c>
      <c r="D1" s="1" t="s">
        <v>117</v>
      </c>
      <c r="J1" s="2" t="s">
        <v>4</v>
      </c>
      <c r="K1" s="2" t="s">
        <v>5</v>
      </c>
    </row>
    <row r="2" spans="1:17" x14ac:dyDescent="0.2">
      <c r="A2" s="2" t="s">
        <v>1</v>
      </c>
      <c r="B2" s="4">
        <v>1.75</v>
      </c>
    </row>
    <row r="3" spans="1:17" x14ac:dyDescent="0.2">
      <c r="A3" s="2"/>
      <c r="B3" s="4"/>
      <c r="K3" t="s">
        <v>175</v>
      </c>
      <c r="L3">
        <v>30</v>
      </c>
    </row>
    <row r="4" spans="1:17" x14ac:dyDescent="0.2">
      <c r="A4" s="16" t="s">
        <v>118</v>
      </c>
      <c r="B4" s="1"/>
      <c r="K4" t="s">
        <v>75</v>
      </c>
      <c r="L4">
        <f>L3^1.1/(L3^1.1+8^1.1)</f>
        <v>0.81060274667686405</v>
      </c>
    </row>
    <row r="5" spans="1:17" x14ac:dyDescent="0.2">
      <c r="A5" s="1"/>
      <c r="B5" s="1"/>
      <c r="L5" s="60"/>
      <c r="M5" s="60"/>
    </row>
    <row r="6" spans="1:17" x14ac:dyDescent="0.2">
      <c r="A6" s="44" t="s">
        <v>24</v>
      </c>
      <c r="B6" s="53" t="s">
        <v>113</v>
      </c>
      <c r="C6" s="46" t="s">
        <v>169</v>
      </c>
      <c r="D6" s="69"/>
      <c r="K6" s="2" t="s">
        <v>146</v>
      </c>
      <c r="L6" s="84">
        <f>B10*D17*(1-L4)</f>
        <v>118.37328332695996</v>
      </c>
      <c r="M6" s="60" t="s">
        <v>176</v>
      </c>
    </row>
    <row r="7" spans="1:17" x14ac:dyDescent="0.2">
      <c r="A7" s="54"/>
      <c r="B7" s="55"/>
      <c r="C7" s="43"/>
      <c r="D7" s="70"/>
      <c r="L7" s="60"/>
      <c r="M7" s="60"/>
    </row>
    <row r="8" spans="1:17" x14ac:dyDescent="0.2">
      <c r="A8" s="45"/>
      <c r="B8" s="42"/>
      <c r="C8" s="40"/>
      <c r="D8" s="70"/>
      <c r="K8" s="2" t="s">
        <v>6</v>
      </c>
      <c r="L8" s="60"/>
      <c r="M8" s="60"/>
    </row>
    <row r="9" spans="1:17" x14ac:dyDescent="0.2">
      <c r="A9" s="25">
        <v>2012</v>
      </c>
      <c r="B9" s="28">
        <v>800</v>
      </c>
      <c r="C9" s="21">
        <v>480</v>
      </c>
      <c r="D9" s="68"/>
      <c r="L9" s="60"/>
      <c r="M9" s="60"/>
    </row>
    <row r="10" spans="1:17" x14ac:dyDescent="0.2">
      <c r="A10" s="25">
        <v>2013</v>
      </c>
      <c r="B10" s="28">
        <v>1000</v>
      </c>
      <c r="C10" s="21">
        <v>530</v>
      </c>
      <c r="D10" s="68"/>
      <c r="K10" t="s">
        <v>280</v>
      </c>
    </row>
    <row r="11" spans="1:17" x14ac:dyDescent="0.2">
      <c r="A11" s="25">
        <v>2014</v>
      </c>
      <c r="B11" s="28">
        <v>1500</v>
      </c>
      <c r="C11" s="21">
        <v>640</v>
      </c>
      <c r="D11" s="68"/>
      <c r="K11" t="s">
        <v>123</v>
      </c>
    </row>
    <row r="12" spans="1:17" x14ac:dyDescent="0.2">
      <c r="A12" s="26">
        <v>2015</v>
      </c>
      <c r="B12" s="29">
        <v>1250</v>
      </c>
      <c r="C12" s="19">
        <v>290</v>
      </c>
      <c r="D12" s="68"/>
    </row>
    <row r="13" spans="1:17" x14ac:dyDescent="0.2">
      <c r="K13" t="s">
        <v>16</v>
      </c>
      <c r="L13" t="s">
        <v>72</v>
      </c>
      <c r="M13" t="s">
        <v>73</v>
      </c>
      <c r="N13" t="s">
        <v>74</v>
      </c>
      <c r="O13" t="s">
        <v>75</v>
      </c>
      <c r="P13" t="s">
        <v>124</v>
      </c>
      <c r="Q13" t="s">
        <v>115</v>
      </c>
    </row>
    <row r="14" spans="1:17" x14ac:dyDescent="0.2">
      <c r="A14" s="3" t="s">
        <v>19</v>
      </c>
      <c r="B14" t="s">
        <v>129</v>
      </c>
      <c r="K14">
        <v>2012</v>
      </c>
      <c r="L14" s="60">
        <f>B9</f>
        <v>800</v>
      </c>
      <c r="M14" s="60">
        <f>C9</f>
        <v>480</v>
      </c>
      <c r="N14">
        <v>42</v>
      </c>
      <c r="O14">
        <f>N14^1.1/(N14^1.1+8^1.1)</f>
        <v>0.86105149142593329</v>
      </c>
      <c r="P14">
        <f>O14*L14</f>
        <v>688.84119314074667</v>
      </c>
      <c r="Q14">
        <f>M14/P14</f>
        <v>0.69682243858189907</v>
      </c>
    </row>
    <row r="15" spans="1:17" x14ac:dyDescent="0.2">
      <c r="B15" t="s">
        <v>121</v>
      </c>
      <c r="K15">
        <v>2013</v>
      </c>
      <c r="L15" s="60">
        <f t="shared" ref="L15:M17" si="0">B10</f>
        <v>1000</v>
      </c>
      <c r="M15" s="60">
        <f t="shared" si="0"/>
        <v>530</v>
      </c>
      <c r="N15">
        <v>30</v>
      </c>
      <c r="O15">
        <f t="shared" ref="O15:O17" si="1">N15^1.1/(N15^1.1+8^1.1)</f>
        <v>0.81060274667686405</v>
      </c>
      <c r="P15">
        <f t="shared" ref="P15:P18" si="2">O15*L15</f>
        <v>810.60274667686406</v>
      </c>
      <c r="Q15">
        <f t="shared" ref="Q15:Q18" si="3">M15/P15</f>
        <v>0.65383444871459018</v>
      </c>
    </row>
    <row r="16" spans="1:17" x14ac:dyDescent="0.2">
      <c r="K16">
        <v>2014</v>
      </c>
      <c r="L16" s="60">
        <f t="shared" si="0"/>
        <v>1500</v>
      </c>
      <c r="M16" s="60">
        <f t="shared" si="0"/>
        <v>640</v>
      </c>
      <c r="N16">
        <v>18</v>
      </c>
      <c r="O16">
        <f t="shared" si="1"/>
        <v>0.70930752130339714</v>
      </c>
      <c r="P16">
        <f t="shared" si="2"/>
        <v>1063.9612819550957</v>
      </c>
      <c r="Q16">
        <f t="shared" si="3"/>
        <v>0.60152564839949796</v>
      </c>
    </row>
    <row r="17" spans="1:17" x14ac:dyDescent="0.2">
      <c r="A17" s="3" t="s">
        <v>170</v>
      </c>
      <c r="D17" s="83">
        <v>0.625</v>
      </c>
      <c r="K17">
        <v>2015</v>
      </c>
      <c r="L17" s="60">
        <f t="shared" si="0"/>
        <v>1250</v>
      </c>
      <c r="M17" s="60">
        <f t="shared" si="0"/>
        <v>290</v>
      </c>
      <c r="N17">
        <v>6</v>
      </c>
      <c r="O17">
        <f t="shared" si="1"/>
        <v>0.42154108464263162</v>
      </c>
      <c r="P17">
        <f t="shared" si="2"/>
        <v>526.92635580328954</v>
      </c>
      <c r="Q17">
        <f t="shared" si="3"/>
        <v>0.55036153877309923</v>
      </c>
    </row>
    <row r="18" spans="1:17" x14ac:dyDescent="0.2">
      <c r="L18" s="60"/>
      <c r="M18" s="60"/>
    </row>
    <row r="19" spans="1:17" x14ac:dyDescent="0.2">
      <c r="A19" s="1" t="s">
        <v>9</v>
      </c>
      <c r="B19" s="1" t="s">
        <v>29</v>
      </c>
      <c r="C19" t="s">
        <v>171</v>
      </c>
      <c r="K19" t="s">
        <v>177</v>
      </c>
    </row>
    <row r="20" spans="1:17" x14ac:dyDescent="0.2">
      <c r="A20" s="1"/>
      <c r="B20" s="1"/>
      <c r="C20" t="s">
        <v>172</v>
      </c>
      <c r="K20" t="s">
        <v>125</v>
      </c>
    </row>
    <row r="21" spans="1:17" x14ac:dyDescent="0.2">
      <c r="A21" s="1"/>
      <c r="B21" s="1"/>
    </row>
    <row r="22" spans="1:17" x14ac:dyDescent="0.2">
      <c r="A22" s="1" t="s">
        <v>2</v>
      </c>
      <c r="B22" s="1" t="s">
        <v>15</v>
      </c>
      <c r="C22" t="s">
        <v>173</v>
      </c>
    </row>
    <row r="23" spans="1:17" x14ac:dyDescent="0.2">
      <c r="C23" t="s">
        <v>174</v>
      </c>
    </row>
  </sheetData>
  <mergeCells count="3">
    <mergeCell ref="A6:A8"/>
    <mergeCell ref="B6:B8"/>
    <mergeCell ref="C6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B54C7-AF4B-404E-A96B-2408B2293328}">
  <dimension ref="A1:S43"/>
  <sheetViews>
    <sheetView workbookViewId="0"/>
  </sheetViews>
  <sheetFormatPr baseColWidth="10" defaultRowHeight="16" outlineLevelCol="1" x14ac:dyDescent="0.2"/>
  <cols>
    <col min="2" max="2" width="16.6640625" customWidth="1"/>
    <col min="4" max="4" width="11.83203125" bestFit="1" customWidth="1"/>
    <col min="5" max="5" width="10.83203125" customWidth="1"/>
    <col min="7" max="7" width="11.5" customWidth="1"/>
    <col min="11" max="11" width="13.6640625" hidden="1" customWidth="1" outlineLevel="1"/>
    <col min="12" max="12" width="16.5" hidden="1" customWidth="1" outlineLevel="1"/>
    <col min="13" max="13" width="11.83203125" hidden="1" customWidth="1" outlineLevel="1"/>
    <col min="14" max="15" width="10.83203125" hidden="1" customWidth="1" outlineLevel="1"/>
    <col min="16" max="16" width="12" hidden="1" customWidth="1" outlineLevel="1"/>
    <col min="17" max="18" width="10.83203125" hidden="1" customWidth="1" outlineLevel="1"/>
    <col min="19" max="19" width="10.83203125" collapsed="1"/>
  </cols>
  <sheetData>
    <row r="1" spans="1:17" x14ac:dyDescent="0.2">
      <c r="A1" s="2" t="s">
        <v>0</v>
      </c>
      <c r="B1" s="1" t="s">
        <v>18</v>
      </c>
      <c r="C1" s="1" t="s">
        <v>10</v>
      </c>
      <c r="D1" s="1" t="s">
        <v>178</v>
      </c>
      <c r="J1" s="2" t="s">
        <v>4</v>
      </c>
      <c r="K1" s="2" t="s">
        <v>5</v>
      </c>
      <c r="L1" s="5"/>
      <c r="M1" s="5"/>
      <c r="N1" s="5"/>
      <c r="O1" s="5"/>
      <c r="P1" s="5"/>
    </row>
    <row r="2" spans="1:17" x14ac:dyDescent="0.2">
      <c r="A2" s="2" t="s">
        <v>1</v>
      </c>
      <c r="B2" s="4">
        <v>2.5</v>
      </c>
      <c r="K2" s="5"/>
      <c r="L2" s="5"/>
      <c r="M2" s="5"/>
      <c r="N2" s="5"/>
      <c r="O2" s="5"/>
      <c r="P2" s="5"/>
    </row>
    <row r="3" spans="1:17" x14ac:dyDescent="0.2">
      <c r="A3" s="2"/>
      <c r="B3" s="4"/>
      <c r="K3" s="5" t="s">
        <v>16</v>
      </c>
      <c r="L3" s="30" t="s">
        <v>73</v>
      </c>
      <c r="M3" s="5" t="s">
        <v>74</v>
      </c>
      <c r="N3" s="5" t="s">
        <v>75</v>
      </c>
      <c r="O3" s="5" t="s">
        <v>194</v>
      </c>
      <c r="P3" s="5" t="s">
        <v>141</v>
      </c>
      <c r="Q3" s="5"/>
    </row>
    <row r="4" spans="1:17" x14ac:dyDescent="0.2">
      <c r="A4" s="16" t="s">
        <v>179</v>
      </c>
      <c r="B4" s="1"/>
      <c r="K4" t="s">
        <v>193</v>
      </c>
      <c r="L4" s="5"/>
      <c r="M4" s="5">
        <v>114</v>
      </c>
      <c r="N4" s="5">
        <f>M4/(M4+10)</f>
        <v>0.91935483870967738</v>
      </c>
      <c r="O4" s="5">
        <f>N4/N4</f>
        <v>1</v>
      </c>
      <c r="P4" s="5">
        <v>0</v>
      </c>
      <c r="Q4" s="5"/>
    </row>
    <row r="5" spans="1:17" x14ac:dyDescent="0.2">
      <c r="A5" s="1"/>
      <c r="B5" s="1"/>
      <c r="K5" s="5">
        <v>2011</v>
      </c>
      <c r="L5" s="82">
        <f>B9</f>
        <v>12000</v>
      </c>
      <c r="M5" s="5">
        <v>42</v>
      </c>
      <c r="N5" s="5">
        <f t="shared" ref="N5:N8" si="0">M5/(M5+10)</f>
        <v>0.80769230769230771</v>
      </c>
      <c r="O5" s="5">
        <f>N4/N5</f>
        <v>1.1382488479262671</v>
      </c>
      <c r="P5" s="5">
        <f>L5*O5-L5</f>
        <v>1658.9861751152057</v>
      </c>
      <c r="Q5" s="5"/>
    </row>
    <row r="6" spans="1:17" x14ac:dyDescent="0.2">
      <c r="A6" s="44" t="s">
        <v>24</v>
      </c>
      <c r="B6" s="46" t="s">
        <v>180</v>
      </c>
      <c r="C6" s="69"/>
      <c r="D6" s="69"/>
      <c r="K6" s="5">
        <v>2012</v>
      </c>
      <c r="L6" s="82">
        <f t="shared" ref="L6:L8" si="1">B10</f>
        <v>11250</v>
      </c>
      <c r="M6" s="5">
        <v>30</v>
      </c>
      <c r="N6" s="5">
        <f t="shared" si="0"/>
        <v>0.75</v>
      </c>
      <c r="O6" s="5">
        <f>N4/N6</f>
        <v>1.2258064516129032</v>
      </c>
      <c r="P6" s="5">
        <f t="shared" ref="P6:P8" si="2">L6*O6-L6</f>
        <v>2540.322580645161</v>
      </c>
      <c r="Q6" s="5"/>
    </row>
    <row r="7" spans="1:17" x14ac:dyDescent="0.2">
      <c r="A7" s="54"/>
      <c r="B7" s="43"/>
      <c r="C7" s="70"/>
      <c r="D7" s="70"/>
      <c r="K7" s="5">
        <v>2013</v>
      </c>
      <c r="L7" s="82">
        <f t="shared" si="1"/>
        <v>14750</v>
      </c>
      <c r="M7" s="5">
        <v>18</v>
      </c>
      <c r="N7" s="5">
        <f t="shared" si="0"/>
        <v>0.6428571428571429</v>
      </c>
      <c r="O7" s="5">
        <f>N4/N7</f>
        <v>1.4301075268817203</v>
      </c>
      <c r="P7" s="5">
        <f t="shared" si="2"/>
        <v>6344.0860215053726</v>
      </c>
      <c r="Q7" s="5"/>
    </row>
    <row r="8" spans="1:17" x14ac:dyDescent="0.2">
      <c r="A8" s="45"/>
      <c r="B8" s="40"/>
      <c r="C8" s="70"/>
      <c r="D8" s="70"/>
      <c r="K8" s="5">
        <v>2014</v>
      </c>
      <c r="L8" s="82">
        <f t="shared" si="1"/>
        <v>9500</v>
      </c>
      <c r="M8" s="5">
        <v>6</v>
      </c>
      <c r="N8" s="5">
        <f t="shared" si="0"/>
        <v>0.375</v>
      </c>
      <c r="O8" s="5">
        <f>N4/N8</f>
        <v>2.4516129032258065</v>
      </c>
      <c r="P8" s="5">
        <f t="shared" si="2"/>
        <v>13790.322580645163</v>
      </c>
      <c r="Q8" s="5"/>
    </row>
    <row r="9" spans="1:17" x14ac:dyDescent="0.2">
      <c r="A9" s="25">
        <v>2011</v>
      </c>
      <c r="B9" s="6">
        <v>12000</v>
      </c>
      <c r="C9" s="20"/>
      <c r="D9" s="68"/>
      <c r="K9" s="5"/>
      <c r="L9" s="5"/>
      <c r="M9" s="5"/>
      <c r="N9" s="5"/>
      <c r="O9" s="5"/>
      <c r="P9" s="5"/>
      <c r="Q9" s="5"/>
    </row>
    <row r="10" spans="1:17" x14ac:dyDescent="0.2">
      <c r="A10" s="25">
        <v>2012</v>
      </c>
      <c r="B10" s="6">
        <v>11250</v>
      </c>
      <c r="C10" s="20"/>
      <c r="D10" s="68"/>
      <c r="K10" s="5" t="s">
        <v>195</v>
      </c>
      <c r="L10" s="82">
        <f>SUM(P4:P8)*1000</f>
        <v>24333717.357910901</v>
      </c>
      <c r="M10" s="5"/>
      <c r="N10" s="5"/>
      <c r="O10" s="5"/>
      <c r="P10" s="5"/>
      <c r="Q10" s="5"/>
    </row>
    <row r="11" spans="1:17" x14ac:dyDescent="0.2">
      <c r="A11" s="25">
        <v>2013</v>
      </c>
      <c r="B11" s="6">
        <v>14750</v>
      </c>
      <c r="C11" s="20"/>
      <c r="D11" s="68"/>
      <c r="K11" s="5"/>
      <c r="L11" s="5"/>
      <c r="M11" s="5"/>
      <c r="N11" s="5"/>
      <c r="O11" s="5"/>
      <c r="P11" s="5"/>
      <c r="Q11" s="5"/>
    </row>
    <row r="12" spans="1:17" x14ac:dyDescent="0.2">
      <c r="A12" s="25">
        <v>2014</v>
      </c>
      <c r="B12" s="6">
        <v>9500</v>
      </c>
      <c r="C12" s="20"/>
      <c r="D12" s="68"/>
      <c r="K12" s="5" t="s">
        <v>144</v>
      </c>
      <c r="L12" s="5">
        <f>L10*D21</f>
        <v>608342933947.77258</v>
      </c>
      <c r="M12" s="5"/>
      <c r="N12" s="5"/>
      <c r="O12" s="5"/>
      <c r="P12" s="5"/>
      <c r="Q12" s="5"/>
    </row>
    <row r="13" spans="1:17" x14ac:dyDescent="0.2">
      <c r="A13" s="7" t="s">
        <v>25</v>
      </c>
      <c r="B13" s="85">
        <v>47500</v>
      </c>
      <c r="C13" s="20"/>
      <c r="D13" s="68"/>
      <c r="K13" s="5" t="s">
        <v>145</v>
      </c>
      <c r="L13" s="30">
        <f>F22^2</f>
        <v>722500000000</v>
      </c>
      <c r="M13" s="5"/>
      <c r="N13" s="5"/>
      <c r="O13" s="5"/>
      <c r="P13" s="5"/>
      <c r="Q13" s="5"/>
    </row>
    <row r="14" spans="1:17" x14ac:dyDescent="0.2">
      <c r="K14" s="5" t="s">
        <v>50</v>
      </c>
      <c r="L14" s="5">
        <f>SQRT(L12+L13)</f>
        <v>1153621.6597948275</v>
      </c>
      <c r="M14" s="5"/>
      <c r="N14" s="5"/>
      <c r="O14" s="5"/>
      <c r="P14" s="5"/>
      <c r="Q14" s="5"/>
    </row>
    <row r="15" spans="1:17" x14ac:dyDescent="0.2">
      <c r="A15" s="3" t="s">
        <v>181</v>
      </c>
      <c r="K15" s="5"/>
      <c r="L15" s="5"/>
      <c r="M15" s="5"/>
      <c r="N15" s="5"/>
      <c r="O15" s="5"/>
      <c r="P15" s="5"/>
      <c r="Q15" s="5"/>
    </row>
    <row r="16" spans="1:17" x14ac:dyDescent="0.2">
      <c r="A16" t="s">
        <v>182</v>
      </c>
      <c r="K16" s="2" t="s">
        <v>51</v>
      </c>
      <c r="L16" s="86">
        <f>L14/(L10)</f>
        <v>4.7408361115848362E-2</v>
      </c>
      <c r="M16" s="5"/>
      <c r="N16" s="5"/>
      <c r="O16" s="5"/>
      <c r="P16" s="5"/>
      <c r="Q16" s="5"/>
    </row>
    <row r="17" spans="1:17" x14ac:dyDescent="0.2">
      <c r="A17" t="s">
        <v>183</v>
      </c>
      <c r="K17" s="5"/>
      <c r="L17" s="5"/>
      <c r="M17" s="5"/>
      <c r="N17" s="5"/>
      <c r="O17" s="5"/>
      <c r="P17" s="5"/>
      <c r="Q17" s="5"/>
    </row>
    <row r="18" spans="1:17" x14ac:dyDescent="0.2">
      <c r="K18" s="2" t="s">
        <v>6</v>
      </c>
      <c r="L18" s="5"/>
      <c r="M18" s="5"/>
      <c r="N18" s="5"/>
      <c r="O18" s="5"/>
      <c r="P18" s="5"/>
      <c r="Q18" s="5"/>
    </row>
    <row r="19" spans="1:17" x14ac:dyDescent="0.2">
      <c r="K19" s="5"/>
      <c r="L19" s="5"/>
      <c r="M19" s="5"/>
      <c r="N19" s="5"/>
      <c r="O19" s="5"/>
      <c r="P19" s="5"/>
      <c r="Q19" s="5"/>
    </row>
    <row r="20" spans="1:17" x14ac:dyDescent="0.2">
      <c r="A20" s="3" t="s">
        <v>184</v>
      </c>
      <c r="K20" s="5" t="s">
        <v>196</v>
      </c>
      <c r="L20" s="5"/>
      <c r="M20" s="5"/>
      <c r="N20" s="5"/>
      <c r="O20" s="5"/>
      <c r="P20" s="5"/>
      <c r="Q20" s="5"/>
    </row>
    <row r="21" spans="1:17" x14ac:dyDescent="0.2">
      <c r="A21" t="s">
        <v>185</v>
      </c>
      <c r="D21" s="15">
        <v>25000</v>
      </c>
      <c r="K21" s="5" t="s">
        <v>197</v>
      </c>
      <c r="L21" s="5"/>
      <c r="M21" s="5"/>
      <c r="N21" s="5"/>
      <c r="O21" s="5"/>
      <c r="P21" s="5"/>
      <c r="Q21" s="5"/>
    </row>
    <row r="22" spans="1:17" x14ac:dyDescent="0.2">
      <c r="A22" s="3" t="s">
        <v>186</v>
      </c>
      <c r="F22" s="12">
        <v>850000</v>
      </c>
      <c r="K22" s="5" t="s">
        <v>198</v>
      </c>
      <c r="L22" s="5"/>
      <c r="M22" s="5"/>
      <c r="N22" s="5"/>
      <c r="O22" s="5"/>
      <c r="P22" s="5"/>
      <c r="Q22" s="5"/>
    </row>
    <row r="23" spans="1:17" x14ac:dyDescent="0.2">
      <c r="K23" s="5"/>
      <c r="L23" s="5"/>
      <c r="M23" s="5"/>
      <c r="N23" s="5"/>
      <c r="O23" s="5"/>
      <c r="P23" s="5"/>
      <c r="Q23" s="5"/>
    </row>
    <row r="24" spans="1:17" x14ac:dyDescent="0.2">
      <c r="A24" s="1" t="s">
        <v>9</v>
      </c>
      <c r="B24" s="1" t="s">
        <v>26</v>
      </c>
      <c r="C24" t="s">
        <v>187</v>
      </c>
      <c r="K24" s="5"/>
      <c r="L24" s="5"/>
      <c r="M24" s="5"/>
      <c r="N24" s="5"/>
      <c r="O24" s="5"/>
      <c r="P24" s="5"/>
      <c r="Q24" s="5"/>
    </row>
    <row r="25" spans="1:17" x14ac:dyDescent="0.2">
      <c r="A25" s="1"/>
      <c r="B25" s="1"/>
      <c r="C25" t="s">
        <v>188</v>
      </c>
      <c r="K25" s="5"/>
      <c r="L25" s="5"/>
      <c r="M25" s="5"/>
      <c r="N25" s="5"/>
      <c r="O25" s="5"/>
      <c r="P25" s="5"/>
      <c r="Q25" s="5"/>
    </row>
    <row r="26" spans="1:17" x14ac:dyDescent="0.2">
      <c r="A26" s="1"/>
      <c r="B26" s="1"/>
      <c r="K26" s="5"/>
      <c r="L26" s="5"/>
      <c r="M26" s="5"/>
      <c r="N26" s="5"/>
      <c r="O26" s="5"/>
      <c r="P26" s="5"/>
      <c r="Q26" s="5"/>
    </row>
    <row r="27" spans="1:17" x14ac:dyDescent="0.2">
      <c r="A27" s="1" t="s">
        <v>2</v>
      </c>
      <c r="B27" s="1" t="s">
        <v>3</v>
      </c>
      <c r="C27" t="s">
        <v>189</v>
      </c>
      <c r="K27" s="5"/>
      <c r="L27" s="5"/>
      <c r="M27" s="5"/>
      <c r="N27" s="5"/>
      <c r="O27" s="5"/>
      <c r="P27" s="5"/>
      <c r="Q27" s="5"/>
    </row>
    <row r="28" spans="1:17" x14ac:dyDescent="0.2">
      <c r="A28" s="1"/>
      <c r="B28" s="1"/>
      <c r="C28" t="s">
        <v>281</v>
      </c>
      <c r="K28" s="5"/>
      <c r="L28" s="5"/>
      <c r="M28" s="5"/>
      <c r="N28" s="5"/>
      <c r="O28" s="5"/>
      <c r="P28" s="5"/>
      <c r="Q28" s="5"/>
    </row>
    <row r="29" spans="1:17" x14ac:dyDescent="0.2">
      <c r="A29" s="1"/>
      <c r="B29" s="1"/>
      <c r="C29" t="s">
        <v>190</v>
      </c>
      <c r="K29" s="5"/>
      <c r="L29" s="82"/>
      <c r="M29" s="5"/>
      <c r="N29" s="5"/>
      <c r="O29" s="5"/>
      <c r="P29" s="5"/>
      <c r="Q29" s="5"/>
    </row>
    <row r="30" spans="1:17" x14ac:dyDescent="0.2">
      <c r="A30" s="1"/>
      <c r="B30" s="1"/>
      <c r="C30" t="s">
        <v>191</v>
      </c>
      <c r="K30" s="5"/>
      <c r="L30" s="82"/>
      <c r="M30" s="5"/>
      <c r="N30" s="5"/>
      <c r="O30" s="5"/>
      <c r="P30" s="5"/>
      <c r="Q30" s="5"/>
    </row>
    <row r="31" spans="1:17" x14ac:dyDescent="0.2">
      <c r="C31" t="s">
        <v>192</v>
      </c>
      <c r="K31" s="5"/>
      <c r="L31" s="82"/>
      <c r="M31" s="5"/>
      <c r="N31" s="5"/>
      <c r="O31" s="5"/>
      <c r="P31" s="5"/>
      <c r="Q31" s="5"/>
    </row>
    <row r="32" spans="1:17" x14ac:dyDescent="0.2">
      <c r="K32" s="5"/>
      <c r="L32" s="82"/>
      <c r="M32" s="5"/>
      <c r="N32" s="5"/>
      <c r="O32" s="5"/>
      <c r="P32" s="5"/>
      <c r="Q32" s="5"/>
    </row>
    <row r="33" spans="11:17" x14ac:dyDescent="0.2">
      <c r="K33" s="5"/>
      <c r="L33" s="5"/>
      <c r="M33" s="5"/>
      <c r="N33" s="5"/>
      <c r="O33" s="5"/>
      <c r="P33" s="5"/>
      <c r="Q33" s="5"/>
    </row>
    <row r="34" spans="11:17" x14ac:dyDescent="0.2">
      <c r="K34" s="5"/>
      <c r="L34" s="5"/>
      <c r="M34" s="5"/>
      <c r="N34" s="5"/>
      <c r="O34" s="5"/>
      <c r="P34" s="5"/>
      <c r="Q34" s="5"/>
    </row>
    <row r="35" spans="11:17" x14ac:dyDescent="0.2">
      <c r="K35" s="5"/>
      <c r="L35" s="5"/>
      <c r="M35" s="5"/>
      <c r="N35" s="5"/>
      <c r="O35" s="5"/>
      <c r="P35" s="5"/>
      <c r="Q35" s="5"/>
    </row>
    <row r="36" spans="11:17" x14ac:dyDescent="0.2">
      <c r="K36" s="5"/>
      <c r="L36" s="5"/>
      <c r="M36" s="5"/>
      <c r="N36" s="5"/>
      <c r="O36" s="5"/>
      <c r="P36" s="5"/>
      <c r="Q36" s="5"/>
    </row>
    <row r="37" spans="11:17" x14ac:dyDescent="0.2">
      <c r="K37" s="5"/>
      <c r="L37" s="5"/>
      <c r="M37" s="5"/>
      <c r="N37" s="5"/>
      <c r="O37" s="5"/>
      <c r="P37" s="5"/>
      <c r="Q37" s="5"/>
    </row>
    <row r="38" spans="11:17" x14ac:dyDescent="0.2">
      <c r="K38" s="5"/>
      <c r="L38" s="5"/>
      <c r="M38" s="5"/>
      <c r="N38" s="5"/>
      <c r="O38" s="5"/>
      <c r="P38" s="5"/>
      <c r="Q38" s="5"/>
    </row>
    <row r="39" spans="11:17" x14ac:dyDescent="0.2">
      <c r="K39" s="5"/>
      <c r="L39" s="5"/>
      <c r="M39" s="5"/>
      <c r="N39" s="5"/>
      <c r="O39" s="5"/>
      <c r="P39" s="5"/>
      <c r="Q39" s="5"/>
    </row>
    <row r="40" spans="11:17" x14ac:dyDescent="0.2">
      <c r="K40" s="5"/>
      <c r="L40" s="5"/>
      <c r="M40" s="5"/>
      <c r="N40" s="5"/>
      <c r="O40" s="5"/>
      <c r="P40" s="5"/>
      <c r="Q40" s="5"/>
    </row>
    <row r="41" spans="11:17" x14ac:dyDescent="0.2">
      <c r="K41" s="5"/>
      <c r="L41" s="5"/>
      <c r="M41" s="5"/>
      <c r="N41" s="5"/>
      <c r="O41" s="5"/>
      <c r="P41" s="5"/>
      <c r="Q41" s="5"/>
    </row>
    <row r="42" spans="11:17" x14ac:dyDescent="0.2">
      <c r="K42" s="5"/>
      <c r="L42" s="5"/>
      <c r="M42" s="5"/>
      <c r="N42" s="5"/>
      <c r="O42" s="5"/>
      <c r="P42" s="5"/>
      <c r="Q42" s="5"/>
    </row>
    <row r="43" spans="11:17" x14ac:dyDescent="0.2">
      <c r="K43" s="5"/>
      <c r="L43" s="5"/>
      <c r="M43" s="5"/>
      <c r="N43" s="5"/>
      <c r="O43" s="5"/>
      <c r="P43" s="5"/>
      <c r="Q43" s="5"/>
    </row>
  </sheetData>
  <mergeCells count="2">
    <mergeCell ref="B6:B8"/>
    <mergeCell ref="A6:A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03C19-419B-6F42-8E68-138C580D5985}">
  <dimension ref="A1:Q23"/>
  <sheetViews>
    <sheetView workbookViewId="0"/>
  </sheetViews>
  <sheetFormatPr baseColWidth="10" defaultRowHeight="16" outlineLevelCol="1" x14ac:dyDescent="0.2"/>
  <cols>
    <col min="2" max="2" width="16.6640625" customWidth="1"/>
    <col min="4" max="4" width="11.83203125" bestFit="1" customWidth="1"/>
    <col min="5" max="5" width="10.83203125" customWidth="1"/>
    <col min="7" max="7" width="11.5" customWidth="1"/>
    <col min="11" max="11" width="13.6640625" hidden="1" customWidth="1" outlineLevel="1"/>
    <col min="12" max="12" width="11" hidden="1" customWidth="1" outlineLevel="1"/>
    <col min="13" max="13" width="11.83203125" hidden="1" customWidth="1" outlineLevel="1"/>
    <col min="14" max="15" width="10.83203125" hidden="1" customWidth="1" outlineLevel="1"/>
    <col min="16" max="16" width="12" hidden="1" customWidth="1" outlineLevel="1"/>
    <col min="17" max="17" width="10.83203125" collapsed="1"/>
  </cols>
  <sheetData>
    <row r="1" spans="1:16" x14ac:dyDescent="0.2">
      <c r="A1" s="2" t="s">
        <v>0</v>
      </c>
      <c r="B1" s="1" t="s">
        <v>14</v>
      </c>
      <c r="C1" s="1" t="s">
        <v>10</v>
      </c>
      <c r="D1" s="1" t="s">
        <v>154</v>
      </c>
      <c r="J1" s="2" t="s">
        <v>4</v>
      </c>
      <c r="K1" s="5" t="s">
        <v>206</v>
      </c>
      <c r="L1" s="5">
        <v>6</v>
      </c>
      <c r="M1" s="5" t="s">
        <v>207</v>
      </c>
      <c r="N1" s="5"/>
      <c r="O1" s="5"/>
      <c r="P1" s="5"/>
    </row>
    <row r="2" spans="1:16" x14ac:dyDescent="0.2">
      <c r="A2" s="2" t="s">
        <v>1</v>
      </c>
      <c r="B2" s="4">
        <v>1.25</v>
      </c>
      <c r="K2" s="5" t="s">
        <v>208</v>
      </c>
      <c r="L2" s="5">
        <v>3</v>
      </c>
      <c r="M2" s="5" t="s">
        <v>209</v>
      </c>
      <c r="N2" s="5"/>
      <c r="O2" s="5"/>
      <c r="P2" s="5"/>
    </row>
    <row r="3" spans="1:16" x14ac:dyDescent="0.2">
      <c r="A3" s="2"/>
      <c r="B3" s="4"/>
      <c r="L3" s="11"/>
    </row>
    <row r="4" spans="1:16" x14ac:dyDescent="0.2">
      <c r="A4" t="s">
        <v>282</v>
      </c>
      <c r="K4" s="8" t="s">
        <v>210</v>
      </c>
    </row>
    <row r="6" spans="1:16" x14ac:dyDescent="0.2">
      <c r="A6" s="50" t="s">
        <v>199</v>
      </c>
      <c r="B6" s="51"/>
      <c r="C6" s="51"/>
      <c r="D6" s="52"/>
      <c r="K6" t="s">
        <v>16</v>
      </c>
      <c r="L6">
        <v>12</v>
      </c>
      <c r="M6">
        <v>24</v>
      </c>
      <c r="N6">
        <v>36</v>
      </c>
    </row>
    <row r="7" spans="1:16" x14ac:dyDescent="0.2">
      <c r="A7" s="13" t="s">
        <v>16</v>
      </c>
      <c r="B7" s="23" t="s">
        <v>21</v>
      </c>
      <c r="C7" s="23" t="s">
        <v>20</v>
      </c>
      <c r="D7" s="24" t="s">
        <v>22</v>
      </c>
      <c r="K7">
        <v>2010</v>
      </c>
      <c r="L7">
        <f>(B8-B14)^2/B14</f>
        <v>5</v>
      </c>
      <c r="M7">
        <f t="shared" ref="M7:N9" si="0">(C8-C14)^2/C14</f>
        <v>6.75</v>
      </c>
      <c r="N7">
        <f t="shared" si="0"/>
        <v>2</v>
      </c>
    </row>
    <row r="8" spans="1:16" x14ac:dyDescent="0.2">
      <c r="A8" s="25">
        <v>2010</v>
      </c>
      <c r="B8" s="20">
        <v>100</v>
      </c>
      <c r="C8" s="20">
        <v>255</v>
      </c>
      <c r="D8" s="21">
        <v>180</v>
      </c>
      <c r="K8">
        <v>2011</v>
      </c>
      <c r="L8">
        <f t="shared" ref="L8:L9" si="1">(B9-B15)^2/B15</f>
        <v>20</v>
      </c>
      <c r="M8">
        <f t="shared" si="0"/>
        <v>5</v>
      </c>
    </row>
    <row r="9" spans="1:16" x14ac:dyDescent="0.2">
      <c r="A9" s="25">
        <v>2011</v>
      </c>
      <c r="B9" s="20">
        <v>120</v>
      </c>
      <c r="C9" s="20">
        <v>280</v>
      </c>
      <c r="D9" s="21"/>
      <c r="K9">
        <v>2012</v>
      </c>
      <c r="L9">
        <f t="shared" si="1"/>
        <v>4</v>
      </c>
    </row>
    <row r="10" spans="1:16" x14ac:dyDescent="0.2">
      <c r="A10" s="26">
        <v>2012</v>
      </c>
      <c r="B10" s="18">
        <v>120</v>
      </c>
      <c r="C10" s="18"/>
      <c r="D10" s="19"/>
    </row>
    <row r="11" spans="1:16" x14ac:dyDescent="0.2">
      <c r="K11" t="s">
        <v>211</v>
      </c>
      <c r="M11">
        <f>SUM(L7:N9)</f>
        <v>42.75</v>
      </c>
    </row>
    <row r="12" spans="1:16" x14ac:dyDescent="0.2">
      <c r="A12" s="50" t="s">
        <v>200</v>
      </c>
      <c r="B12" s="51"/>
      <c r="C12" s="51"/>
      <c r="D12" s="52"/>
    </row>
    <row r="13" spans="1:16" x14ac:dyDescent="0.2">
      <c r="A13" s="13" t="s">
        <v>16</v>
      </c>
      <c r="B13" s="23" t="s">
        <v>21</v>
      </c>
      <c r="C13" s="23" t="s">
        <v>20</v>
      </c>
      <c r="D13" s="24" t="s">
        <v>22</v>
      </c>
      <c r="K13" t="s">
        <v>212</v>
      </c>
      <c r="M13">
        <f>1/(L1-L2)*M11</f>
        <v>14.25</v>
      </c>
      <c r="N13" t="s">
        <v>213</v>
      </c>
    </row>
    <row r="14" spans="1:16" x14ac:dyDescent="0.2">
      <c r="A14" s="25">
        <v>2010</v>
      </c>
      <c r="B14" s="20">
        <v>80</v>
      </c>
      <c r="C14" s="20">
        <v>300</v>
      </c>
      <c r="D14" s="21">
        <v>200</v>
      </c>
    </row>
    <row r="15" spans="1:16" x14ac:dyDescent="0.2">
      <c r="A15" s="25">
        <v>2011</v>
      </c>
      <c r="B15" s="20">
        <v>80</v>
      </c>
      <c r="C15" s="20">
        <v>320</v>
      </c>
      <c r="D15" s="21"/>
      <c r="K15" t="s">
        <v>144</v>
      </c>
      <c r="M15">
        <f>M13*1000*1500000</f>
        <v>21375000000</v>
      </c>
    </row>
    <row r="16" spans="1:16" x14ac:dyDescent="0.2">
      <c r="A16" s="26">
        <v>2012</v>
      </c>
      <c r="B16" s="18">
        <v>100</v>
      </c>
      <c r="C16" s="18"/>
      <c r="D16" s="19"/>
      <c r="K16" t="s">
        <v>145</v>
      </c>
      <c r="M16">
        <f>350000^2</f>
        <v>122500000000</v>
      </c>
    </row>
    <row r="17" spans="1:13" x14ac:dyDescent="0.2">
      <c r="K17" s="2" t="s">
        <v>50</v>
      </c>
      <c r="L17" s="2"/>
      <c r="M17" s="75">
        <f>SQRT(M15+M16)</f>
        <v>379308.58150060353</v>
      </c>
    </row>
    <row r="18" spans="1:13" x14ac:dyDescent="0.2">
      <c r="A18" t="s">
        <v>201</v>
      </c>
    </row>
    <row r="19" spans="1:13" x14ac:dyDescent="0.2">
      <c r="A19" t="s">
        <v>202</v>
      </c>
    </row>
    <row r="20" spans="1:13" x14ac:dyDescent="0.2">
      <c r="A20" t="s">
        <v>203</v>
      </c>
    </row>
    <row r="22" spans="1:13" x14ac:dyDescent="0.2">
      <c r="A22" t="s">
        <v>204</v>
      </c>
    </row>
    <row r="23" spans="1:13" x14ac:dyDescent="0.2">
      <c r="A23" t="s">
        <v>205</v>
      </c>
    </row>
  </sheetData>
  <mergeCells count="2">
    <mergeCell ref="A6:D6"/>
    <mergeCell ref="A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2019 #5</vt:lpstr>
      <vt:lpstr>2019 #6</vt:lpstr>
      <vt:lpstr>2019 #8</vt:lpstr>
      <vt:lpstr>2017 #4</vt:lpstr>
      <vt:lpstr>2017 #5</vt:lpstr>
      <vt:lpstr>2016 #3</vt:lpstr>
      <vt:lpstr>2016 #4</vt:lpstr>
      <vt:lpstr>2015 #2</vt:lpstr>
      <vt:lpstr>2014 #3</vt:lpstr>
      <vt:lpstr>2014 #5</vt:lpstr>
      <vt:lpstr>2013 #3</vt:lpstr>
      <vt:lpstr>2012 #2</vt:lpstr>
      <vt:lpstr>2011 #2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Mcphail</cp:lastModifiedBy>
  <dcterms:created xsi:type="dcterms:W3CDTF">2020-09-04T21:09:46Z</dcterms:created>
  <dcterms:modified xsi:type="dcterms:W3CDTF">2020-12-31T20:37:04Z</dcterms:modified>
</cp:coreProperties>
</file>