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stephenroll/Rising Fellow Dropbox/Rising Fellow/_Products/Exam 5/Past CAS Exams/CAS Problems by Chapter/"/>
    </mc:Choice>
  </mc:AlternateContent>
  <xr:revisionPtr revIDLastSave="0" documentId="13_ncr:1_{F224046D-3E79-8246-A5D5-91A0489B96B3}" xr6:coauthVersionLast="47" xr6:coauthVersionMax="47" xr10:uidLastSave="{00000000-0000-0000-0000-000000000000}"/>
  <bookViews>
    <workbookView xWindow="100" yWindow="880" windowWidth="22740" windowHeight="18660" xr2:uid="{1057CE59-2C47-C04B-A5FD-E66389C09A84}"/>
  </bookViews>
  <sheets>
    <sheet name="Sp 2015 #21" sheetId="13" r:id="rId1"/>
    <sheet name="F 2015 #20" sheetId="12" r:id="rId2"/>
    <sheet name="Sp 2016 #19" sheetId="14" r:id="rId3"/>
    <sheet name="F 2016 #20" sheetId="10" r:id="rId4"/>
    <sheet name="F 2016 #22" sheetId="11" r:id="rId5"/>
    <sheet name="Sp 2017 #16" sheetId="9" r:id="rId6"/>
    <sheet name="Sp 2017 #17" sheetId="8" r:id="rId7"/>
    <sheet name="F 2017 #18" sheetId="7" r:id="rId8"/>
    <sheet name="F 2017 #20" sheetId="6" r:id="rId9"/>
    <sheet name="F 2017 #23" sheetId="5" r:id="rId10"/>
    <sheet name="Sp 2018 #18" sheetId="4" r:id="rId11"/>
    <sheet name="Sp 2018M #17" sheetId="3" r:id="rId12"/>
    <sheet name="F 2018 #17" sheetId="2"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13" l="1"/>
  <c r="N7" i="13"/>
  <c r="O7" i="13"/>
  <c r="P7" i="13"/>
  <c r="P12" i="13" s="1"/>
  <c r="M8" i="13"/>
  <c r="M30" i="13" s="1"/>
  <c r="N8" i="13"/>
  <c r="O8" i="13"/>
  <c r="M9" i="13"/>
  <c r="M31" i="13" s="1"/>
  <c r="N9" i="13"/>
  <c r="M17" i="13"/>
  <c r="N17" i="13"/>
  <c r="O17" i="13"/>
  <c r="P17" i="13"/>
  <c r="N18" i="13"/>
  <c r="O18" i="13"/>
  <c r="N19" i="13"/>
  <c r="M23" i="13"/>
  <c r="N24" i="13"/>
  <c r="N25" i="13"/>
  <c r="M29" i="13"/>
  <c r="M41" i="13"/>
  <c r="N42" i="13"/>
  <c r="N49" i="13" s="1"/>
  <c r="N43" i="13"/>
  <c r="M48" i="13"/>
  <c r="P9" i="11"/>
  <c r="Q9" i="11"/>
  <c r="R9" i="11"/>
  <c r="S9" i="11"/>
  <c r="T9" i="11"/>
  <c r="P10" i="11"/>
  <c r="Q10" i="11"/>
  <c r="R10" i="11"/>
  <c r="S10" i="11"/>
  <c r="P11" i="11"/>
  <c r="Q11" i="11"/>
  <c r="R11" i="11"/>
  <c r="P12" i="11"/>
  <c r="Q12" i="11"/>
  <c r="P25" i="11"/>
  <c r="P44" i="11" s="1"/>
  <c r="Q25" i="11"/>
  <c r="R25" i="11"/>
  <c r="S25" i="11"/>
  <c r="P26" i="11"/>
  <c r="P45" i="11" s="1"/>
  <c r="Q26" i="11"/>
  <c r="R26" i="11"/>
  <c r="P27" i="11"/>
  <c r="P46" i="11" s="1"/>
  <c r="Q27" i="11"/>
  <c r="S30" i="11"/>
  <c r="T30" i="11"/>
  <c r="T31" i="11"/>
  <c r="P36" i="11"/>
  <c r="Q36" i="11"/>
  <c r="Q44" i="11" s="1"/>
  <c r="R36" i="11"/>
  <c r="S36" i="11"/>
  <c r="S44" i="11" s="1"/>
  <c r="S49" i="11" s="1"/>
  <c r="T36" i="11"/>
  <c r="P37" i="11"/>
  <c r="Q37" i="11"/>
  <c r="R37" i="11"/>
  <c r="Q45" i="11" s="1"/>
  <c r="S37" i="11"/>
  <c r="P38" i="11"/>
  <c r="P57" i="11" s="1"/>
  <c r="Q38" i="11"/>
  <c r="R38" i="11"/>
  <c r="P39" i="11"/>
  <c r="Q39" i="11"/>
  <c r="T58" i="11" s="1"/>
  <c r="R44" i="11"/>
  <c r="Q46" i="11"/>
  <c r="T49" i="11"/>
  <c r="T50" i="11" s="1"/>
  <c r="Q57" i="11"/>
  <c r="T57" i="11"/>
  <c r="P58" i="11"/>
  <c r="Q58" i="11"/>
  <c r="M9" i="9"/>
  <c r="O9" i="9" s="1"/>
  <c r="P9" i="9" s="1"/>
  <c r="Q9" i="9" s="1"/>
  <c r="S9" i="9" s="1"/>
  <c r="N9" i="9"/>
  <c r="R9" i="9"/>
  <c r="M10" i="9"/>
  <c r="O10" i="9" s="1"/>
  <c r="P10" i="9" s="1"/>
  <c r="N10" i="9"/>
  <c r="R10" i="9"/>
  <c r="M11" i="9"/>
  <c r="O11" i="9" s="1"/>
  <c r="P11" i="9" s="1"/>
  <c r="N11" i="9"/>
  <c r="R11" i="9"/>
  <c r="O23" i="9"/>
  <c r="O30" i="9" s="1"/>
  <c r="O28" i="9"/>
  <c r="M7" i="8"/>
  <c r="N7" i="8"/>
  <c r="O7" i="8"/>
  <c r="M8" i="8"/>
  <c r="M26" i="8" s="1"/>
  <c r="N8" i="8"/>
  <c r="N11" i="8"/>
  <c r="O11" i="8"/>
  <c r="P12" i="8"/>
  <c r="M19" i="8"/>
  <c r="N19" i="8"/>
  <c r="O19" i="8"/>
  <c r="P19" i="8"/>
  <c r="O25" i="8" s="1"/>
  <c r="O29" i="8" s="1"/>
  <c r="O30" i="8" s="1"/>
  <c r="M20" i="8"/>
  <c r="N20" i="8"/>
  <c r="N26" i="8" s="1"/>
  <c r="O20" i="8"/>
  <c r="M21" i="8"/>
  <c r="N21" i="8"/>
  <c r="M25" i="8"/>
  <c r="P30" i="8"/>
  <c r="L9" i="7"/>
  <c r="L22" i="7" s="1"/>
  <c r="M9" i="7"/>
  <c r="N9" i="7"/>
  <c r="O9" i="7"/>
  <c r="P9" i="7"/>
  <c r="P16" i="7" s="1"/>
  <c r="Q9" i="7"/>
  <c r="Q16" i="7" s="1"/>
  <c r="L10" i="7"/>
  <c r="L23" i="7" s="1"/>
  <c r="M10" i="7"/>
  <c r="N10" i="7"/>
  <c r="O10" i="7"/>
  <c r="P10" i="7"/>
  <c r="L11" i="7"/>
  <c r="L24" i="7" s="1"/>
  <c r="M11" i="7"/>
  <c r="N11" i="7"/>
  <c r="O11" i="7"/>
  <c r="L12" i="7"/>
  <c r="L25" i="7" s="1"/>
  <c r="M12" i="7"/>
  <c r="M16" i="7" s="1"/>
  <c r="N12" i="7"/>
  <c r="L13" i="7"/>
  <c r="L26" i="7" s="1"/>
  <c r="M13" i="7"/>
  <c r="R17" i="7"/>
  <c r="M22" i="7"/>
  <c r="N22" i="7"/>
  <c r="O22" i="7"/>
  <c r="O29" i="7" s="1"/>
  <c r="O31" i="7" s="1"/>
  <c r="P22" i="7"/>
  <c r="Q22" i="7"/>
  <c r="M23" i="7"/>
  <c r="N23" i="7"/>
  <c r="O23" i="7"/>
  <c r="P23" i="7"/>
  <c r="M24" i="7"/>
  <c r="N24" i="7"/>
  <c r="O24" i="7"/>
  <c r="M25" i="7"/>
  <c r="N25" i="7"/>
  <c r="M26" i="7"/>
  <c r="M29" i="7"/>
  <c r="P29" i="7"/>
  <c r="P31" i="7" s="1"/>
  <c r="Q29" i="7"/>
  <c r="Q30" i="7" s="1"/>
  <c r="R30" i="7"/>
  <c r="R32" i="7"/>
  <c r="L44" i="7"/>
  <c r="M44" i="7"/>
  <c r="P44" i="7"/>
  <c r="L45" i="7"/>
  <c r="M45" i="7"/>
  <c r="P45" i="7"/>
  <c r="M8" i="6"/>
  <c r="O8" i="6" s="1"/>
  <c r="P8" i="6" s="1"/>
  <c r="Q8" i="6" s="1"/>
  <c r="N8" i="6"/>
  <c r="M9" i="6"/>
  <c r="O9" i="6" s="1"/>
  <c r="P9" i="6" s="1"/>
  <c r="Q9" i="6" s="1"/>
  <c r="N9" i="6"/>
  <c r="M10" i="6"/>
  <c r="O10" i="6" s="1"/>
  <c r="P10" i="6" s="1"/>
  <c r="N10" i="6"/>
  <c r="M14" i="6"/>
  <c r="O14" i="6" s="1"/>
  <c r="P14" i="6" s="1"/>
  <c r="Q14" i="6" s="1"/>
  <c r="N14" i="6"/>
  <c r="N15" i="6"/>
  <c r="N16" i="6"/>
  <c r="M29" i="6"/>
  <c r="O29" i="6" s="1"/>
  <c r="P29" i="6" s="1"/>
  <c r="N29" i="6"/>
  <c r="M30" i="6"/>
  <c r="O30" i="6" s="1"/>
  <c r="P30" i="6" s="1"/>
  <c r="Q30" i="6" s="1"/>
  <c r="N30" i="6"/>
  <c r="O41" i="6"/>
  <c r="O46" i="6"/>
  <c r="N10" i="5"/>
  <c r="O10" i="5"/>
  <c r="O17" i="5" s="1"/>
  <c r="P10" i="5"/>
  <c r="P17" i="5" s="1"/>
  <c r="Q10" i="5"/>
  <c r="M11" i="5"/>
  <c r="N11" i="5"/>
  <c r="N18" i="5" s="1"/>
  <c r="O11" i="5"/>
  <c r="P11" i="5"/>
  <c r="Q11" i="5"/>
  <c r="M12" i="5"/>
  <c r="M19" i="5" s="1"/>
  <c r="O19" i="5" s="1"/>
  <c r="N12" i="5"/>
  <c r="N19" i="5" s="1"/>
  <c r="O12" i="5"/>
  <c r="P12" i="5"/>
  <c r="M13" i="5"/>
  <c r="N13" i="5"/>
  <c r="N20" i="5" s="1"/>
  <c r="O13" i="5"/>
  <c r="M14" i="5"/>
  <c r="M21" i="5" s="1"/>
  <c r="N21" i="5" s="1"/>
  <c r="N14" i="5"/>
  <c r="N17" i="5"/>
  <c r="Q17" i="5"/>
  <c r="M18" i="5"/>
  <c r="Q18" i="5" s="1"/>
  <c r="R25" i="5" s="1"/>
  <c r="R26" i="5" s="1"/>
  <c r="M20" i="5"/>
  <c r="O24" i="5"/>
  <c r="P24" i="5"/>
  <c r="Q24" i="5"/>
  <c r="R24" i="5"/>
  <c r="Q8" i="4"/>
  <c r="R8" i="4"/>
  <c r="S8" i="4"/>
  <c r="S9" i="4" s="1"/>
  <c r="T9" i="4"/>
  <c r="P14" i="4"/>
  <c r="P22" i="4" s="1"/>
  <c r="P34" i="4" s="1"/>
  <c r="Q14" i="4"/>
  <c r="R14" i="4"/>
  <c r="Q22" i="4" s="1"/>
  <c r="S14" i="4"/>
  <c r="R22" i="4" s="1"/>
  <c r="T14" i="4"/>
  <c r="P15" i="4"/>
  <c r="Q15" i="4"/>
  <c r="R15" i="4"/>
  <c r="Q23" i="4" s="1"/>
  <c r="S15" i="4"/>
  <c r="Q35" i="4" s="1"/>
  <c r="P16" i="4"/>
  <c r="P24" i="4" s="1"/>
  <c r="P36" i="4" s="1"/>
  <c r="Q16" i="4"/>
  <c r="R16" i="4"/>
  <c r="Q24" i="4" s="1"/>
  <c r="P17" i="4"/>
  <c r="P23" i="4"/>
  <c r="P35" i="4" s="1"/>
  <c r="R23" i="4"/>
  <c r="T28" i="4"/>
  <c r="Q34" i="4"/>
  <c r="T34" i="4"/>
  <c r="U34" i="4"/>
  <c r="T35" i="4"/>
  <c r="U35" i="4"/>
  <c r="T36" i="4"/>
  <c r="U36" i="4"/>
  <c r="P9" i="3"/>
  <c r="Q9" i="3"/>
  <c r="R9" i="3"/>
  <c r="R15" i="3" s="1"/>
  <c r="S9" i="3"/>
  <c r="T9" i="3"/>
  <c r="T15" i="3" s="1"/>
  <c r="P10" i="3"/>
  <c r="P28" i="3" s="1"/>
  <c r="Q10" i="3"/>
  <c r="R10" i="3"/>
  <c r="S10" i="3"/>
  <c r="P11" i="3"/>
  <c r="Q11" i="3"/>
  <c r="R11" i="3"/>
  <c r="P12" i="3"/>
  <c r="P21" i="3" s="1"/>
  <c r="Q12" i="3"/>
  <c r="Q15" i="3"/>
  <c r="R21" i="3" s="1"/>
  <c r="Q21" i="3"/>
  <c r="P27" i="3"/>
  <c r="Q27" i="3" s="1"/>
  <c r="P29" i="3"/>
  <c r="Q29" i="3" s="1"/>
  <c r="R29" i="3"/>
  <c r="Q39" i="3"/>
  <c r="P44" i="3"/>
  <c r="Q44" i="3"/>
  <c r="M8" i="2"/>
  <c r="O8" i="2" s="1"/>
  <c r="P8" i="2" s="1"/>
  <c r="Q8" i="2" s="1"/>
  <c r="Q14" i="2" s="1"/>
  <c r="N8" i="2"/>
  <c r="M9" i="2"/>
  <c r="N9" i="2"/>
  <c r="O9" i="2"/>
  <c r="P9" i="2" s="1"/>
  <c r="N14" i="2"/>
  <c r="O14" i="2"/>
  <c r="P14" i="2"/>
  <c r="M15" i="2"/>
  <c r="N15" i="2"/>
  <c r="O15" i="2"/>
  <c r="P15" i="2"/>
  <c r="M26" i="2"/>
  <c r="O26" i="2" s="1"/>
  <c r="P26" i="2" s="1"/>
  <c r="N26" i="2"/>
  <c r="Q26" i="2"/>
  <c r="M27" i="2"/>
  <c r="O27" i="2" s="1"/>
  <c r="P27" i="2" s="1"/>
  <c r="N27" i="2"/>
  <c r="Q27" i="2"/>
  <c r="M36" i="2"/>
  <c r="N36" i="2"/>
  <c r="M37" i="2"/>
  <c r="N37" i="2"/>
  <c r="P19" i="5" l="1"/>
  <c r="M16" i="6"/>
  <c r="O16" i="6" s="1"/>
  <c r="P16" i="6" s="1"/>
  <c r="N29" i="7"/>
  <c r="N31" i="7" s="1"/>
  <c r="Q11" i="9"/>
  <c r="S11" i="9" s="1"/>
  <c r="R45" i="11"/>
  <c r="O18" i="5"/>
  <c r="O25" i="5" s="1"/>
  <c r="O26" i="5" s="1"/>
  <c r="R49" i="11"/>
  <c r="R50" i="11" s="1"/>
  <c r="Q49" i="11"/>
  <c r="S31" i="11"/>
  <c r="N12" i="13"/>
  <c r="M19" i="13"/>
  <c r="R9" i="4"/>
  <c r="R27" i="2"/>
  <c r="S15" i="3"/>
  <c r="T21" i="3" s="1"/>
  <c r="Q9" i="4"/>
  <c r="R44" i="4" s="1"/>
  <c r="M31" i="7"/>
  <c r="Q17" i="7"/>
  <c r="N25" i="8"/>
  <c r="N29" i="8" s="1"/>
  <c r="P48" i="13"/>
  <c r="M14" i="2"/>
  <c r="Q30" i="11"/>
  <c r="Q29" i="6"/>
  <c r="Q32" i="6" s="1"/>
  <c r="O43" i="6" s="1"/>
  <c r="O16" i="7"/>
  <c r="Q10" i="9"/>
  <c r="S10" i="9" s="1"/>
  <c r="P23" i="13"/>
  <c r="P41" i="13" s="1"/>
  <c r="Q17" i="13"/>
  <c r="O12" i="13"/>
  <c r="P18" i="13" s="1"/>
  <c r="R27" i="4"/>
  <c r="R26" i="2"/>
  <c r="R29" i="2" s="1"/>
  <c r="N16" i="7"/>
  <c r="S50" i="11"/>
  <c r="O20" i="5"/>
  <c r="P18" i="5"/>
  <c r="Q25" i="5" s="1"/>
  <c r="Q26" i="5" s="1"/>
  <c r="Q10" i="6"/>
  <c r="O12" i="8"/>
  <c r="N12" i="8" s="1"/>
  <c r="O35" i="8" s="1"/>
  <c r="R30" i="11"/>
  <c r="R31" i="11" s="1"/>
  <c r="R57" i="11" s="1"/>
  <c r="S57" i="11" s="1"/>
  <c r="M43" i="13"/>
  <c r="N31" i="13"/>
  <c r="N34" i="13" s="1"/>
  <c r="M24" i="13"/>
  <c r="M49" i="13"/>
  <c r="O23" i="13"/>
  <c r="O41" i="13" s="1"/>
  <c r="O48" i="13" s="1"/>
  <c r="N50" i="13"/>
  <c r="N23" i="13"/>
  <c r="N41" i="13" s="1"/>
  <c r="M50" i="13"/>
  <c r="N48" i="13"/>
  <c r="M25" i="13"/>
  <c r="M42" i="13"/>
  <c r="O24" i="13"/>
  <c r="M18" i="13"/>
  <c r="S13" i="9"/>
  <c r="S14" i="9" s="1"/>
  <c r="O29" i="9" s="1"/>
  <c r="O31" i="9" s="1"/>
  <c r="O33" i="9" s="1"/>
  <c r="N30" i="8"/>
  <c r="O36" i="8" s="1"/>
  <c r="O37" i="8" s="1"/>
  <c r="P17" i="7"/>
  <c r="O17" i="7"/>
  <c r="N17" i="7" s="1"/>
  <c r="P30" i="7"/>
  <c r="Q31" i="7"/>
  <c r="Q32" i="7" s="1"/>
  <c r="P32" i="7" s="1"/>
  <c r="O32" i="7" s="1"/>
  <c r="O30" i="7"/>
  <c r="N30" i="7" s="1"/>
  <c r="Q16" i="6"/>
  <c r="R16" i="6" s="1"/>
  <c r="R18" i="6" s="1"/>
  <c r="O42" i="6" s="1"/>
  <c r="R14" i="6"/>
  <c r="M15" i="6"/>
  <c r="O15" i="6" s="1"/>
  <c r="P15" i="6" s="1"/>
  <c r="Q15" i="6" s="1"/>
  <c r="R15" i="6" s="1"/>
  <c r="P25" i="5"/>
  <c r="P26" i="5" s="1"/>
  <c r="Q27" i="4"/>
  <c r="Q36" i="4"/>
  <c r="S22" i="4"/>
  <c r="S27" i="4" s="1"/>
  <c r="S28" i="4" s="1"/>
  <c r="R34" i="4" s="1"/>
  <c r="V34" i="4" s="1"/>
  <c r="Q28" i="3"/>
  <c r="R28" i="3"/>
  <c r="S28" i="3"/>
  <c r="S21" i="3"/>
  <c r="P30" i="3"/>
  <c r="Q30" i="3" s="1"/>
  <c r="Q33" i="3" s="1"/>
  <c r="T27" i="3"/>
  <c r="T33" i="3" s="1"/>
  <c r="T39" i="3" s="1"/>
  <c r="S27" i="3"/>
  <c r="P39" i="3"/>
  <c r="R27" i="3"/>
  <c r="Q9" i="2"/>
  <c r="Q15" i="2" s="1"/>
  <c r="Q17" i="2"/>
  <c r="U57" i="11" l="1"/>
  <c r="V57" i="11" s="1"/>
  <c r="W57" i="11" s="1"/>
  <c r="Q50" i="11"/>
  <c r="U58" i="11" s="1"/>
  <c r="V58" i="11" s="1"/>
  <c r="Q31" i="11"/>
  <c r="R58" i="11" s="1"/>
  <c r="S58" i="11" s="1"/>
  <c r="S59" i="11" s="1"/>
  <c r="O44" i="6"/>
  <c r="O47" i="6" s="1"/>
  <c r="R33" i="3"/>
  <c r="R39" i="3" s="1"/>
  <c r="R44" i="3" s="1"/>
  <c r="Q48" i="13"/>
  <c r="P19" i="13"/>
  <c r="P50" i="13" s="1"/>
  <c r="O19" i="13"/>
  <c r="Q19" i="13" s="1"/>
  <c r="P29" i="13"/>
  <c r="P34" i="13" s="1"/>
  <c r="P43" i="13" s="1"/>
  <c r="P42" i="13" s="1"/>
  <c r="Q18" i="13"/>
  <c r="P49" i="13"/>
  <c r="O42" i="13"/>
  <c r="O49" i="13" s="1"/>
  <c r="O30" i="13"/>
  <c r="O34" i="13" s="1"/>
  <c r="O43" i="13" s="1"/>
  <c r="Q44" i="7"/>
  <c r="R44" i="7" s="1"/>
  <c r="M30" i="7"/>
  <c r="N44" i="7"/>
  <c r="O44" i="7" s="1"/>
  <c r="M17" i="7"/>
  <c r="N45" i="7" s="1"/>
  <c r="O45" i="7" s="1"/>
  <c r="N32" i="7"/>
  <c r="M32" i="7" s="1"/>
  <c r="Q45" i="7" s="1"/>
  <c r="R45" i="7" s="1"/>
  <c r="R28" i="4"/>
  <c r="R35" i="4" s="1"/>
  <c r="V35" i="4" s="1"/>
  <c r="T44" i="3"/>
  <c r="S33" i="3"/>
  <c r="S39" i="3" s="1"/>
  <c r="S44" i="3" s="1"/>
  <c r="U44" i="3" s="1"/>
  <c r="R30" i="2"/>
  <c r="P36" i="2" s="1"/>
  <c r="P37" i="2"/>
  <c r="O37" i="2"/>
  <c r="Q18" i="2"/>
  <c r="O36" i="2" s="1"/>
  <c r="Q36" i="2" s="1"/>
  <c r="S45" i="7" l="1"/>
  <c r="Q37" i="2"/>
  <c r="Q38" i="2" s="1"/>
  <c r="O50" i="13"/>
  <c r="Q50" i="13" s="1"/>
  <c r="W58" i="11"/>
  <c r="W59" i="11" s="1"/>
  <c r="Q49" i="13"/>
  <c r="O46" i="7"/>
  <c r="S44" i="7"/>
  <c r="S46" i="7" s="1"/>
  <c r="Q28" i="4"/>
  <c r="R36" i="4" s="1"/>
  <c r="V36" i="4" s="1"/>
  <c r="V38" i="4" s="1"/>
  <c r="R45" i="4" s="1"/>
  <c r="R46" i="4" s="1"/>
</calcChain>
</file>

<file path=xl/sharedStrings.xml><?xml version="1.0" encoding="utf-8"?>
<sst xmlns="http://schemas.openxmlformats.org/spreadsheetml/2006/main" count="838" uniqueCount="362">
  <si>
    <t>Reserving - Frequency-Severity Technique #2 (Incorporating Exposures and Inflation)</t>
  </si>
  <si>
    <t>Recipe</t>
  </si>
  <si>
    <r>
      <t xml:space="preserve">Based on the information given, you were expected to use the approach that incorporates trend and exposure/earned premium information. 
</t>
    </r>
    <r>
      <rPr>
        <b/>
        <sz val="12"/>
        <color theme="1"/>
        <rFont val="Calibri"/>
        <family val="2"/>
        <scheme val="minor"/>
      </rPr>
      <t>Frequency</t>
    </r>
    <r>
      <rPr>
        <sz val="12"/>
        <color theme="1"/>
        <rFont val="Calibri"/>
        <family val="2"/>
      </rPr>
      <t xml:space="preserve"> - Make sure to on-level earned premium and trend ultimate claim counts to 2017 levels  so that you can select an appropriate frequency. Then detrend and back out the on level factor to calculate an appropriate frequency for the prior year.
</t>
    </r>
    <r>
      <rPr>
        <b/>
        <sz val="12"/>
        <color theme="1"/>
        <rFont val="Calibri"/>
        <family val="2"/>
        <scheme val="minor"/>
      </rPr>
      <t>Severity</t>
    </r>
    <r>
      <rPr>
        <sz val="12"/>
        <color theme="1"/>
        <rFont val="Calibri"/>
        <family val="2"/>
      </rPr>
      <t xml:space="preserve"> - Ultimate severity needs to be trended and adjusted to the latest year's cost levels. Then detrend to calculate an appropriate severity for the prior year.</t>
    </r>
  </si>
  <si>
    <t>Discussion</t>
  </si>
  <si>
    <t>• Stable case reserve adequacy</t>
  </si>
  <si>
    <t>• Stable settlement pattern</t>
  </si>
  <si>
    <t>• Consistent definition of exposures</t>
  </si>
  <si>
    <t>• Claim counts and severities develop similarly in the future</t>
  </si>
  <si>
    <t>• Claim counts are reasonably homogenous (consistent mix of claims)</t>
  </si>
  <si>
    <t>• Claim counts used are defined in a consistent manner over the experience period</t>
  </si>
  <si>
    <t>Any two of the following:</t>
  </si>
  <si>
    <t>Part b.</t>
  </si>
  <si>
    <t>Total</t>
  </si>
  <si>
    <t>Claims ($000)</t>
  </si>
  <si>
    <t>Severity</t>
  </si>
  <si>
    <t>Frequency</t>
  </si>
  <si>
    <t>Prem ($000)</t>
  </si>
  <si>
    <t>Year</t>
  </si>
  <si>
    <t>Ultimate</t>
  </si>
  <si>
    <t>Selected Ult</t>
  </si>
  <si>
    <t>Earned</t>
  </si>
  <si>
    <t>Accident</t>
  </si>
  <si>
    <t>Ultimate Claims = Earned Prem x Ultimate Frequency x Ultimate Severity</t>
  </si>
  <si>
    <t xml:space="preserve">Est. 2016 Severity = </t>
  </si>
  <si>
    <t xml:space="preserve">Selected 2017 Severity = </t>
  </si>
  <si>
    <t>Change</t>
  </si>
  <si>
    <t>Factor</t>
  </si>
  <si>
    <t>to 2017</t>
  </si>
  <si>
    <t>Trended Ult</t>
  </si>
  <si>
    <t>Legislative</t>
  </si>
  <si>
    <t>Trend</t>
  </si>
  <si>
    <t>Trend Period</t>
  </si>
  <si>
    <t>SHOW ALL WORK.</t>
  </si>
  <si>
    <t>Estimate projected, ultimate severity for latest two accident years:</t>
  </si>
  <si>
    <t>Briefly describe two key assumptions of frequency-severity techniques.</t>
  </si>
  <si>
    <t>0.5 point</t>
  </si>
  <si>
    <t>b.</t>
  </si>
  <si>
    <t>technique.</t>
  </si>
  <si>
    <t>Estimate the ultimate claims for accident years 2016 and 2017 using an appropriate frequency-severity</t>
  </si>
  <si>
    <t>3 points</t>
  </si>
  <si>
    <t>a.</t>
  </si>
  <si>
    <t>% of 2021 Earned Prem ($000)</t>
  </si>
  <si>
    <t xml:space="preserve">Est. 2016 Frequency = </t>
  </si>
  <si>
    <t>% of Earned Prem (2017 levels)</t>
  </si>
  <si>
    <t xml:space="preserve">Selected 2017 Frequency = </t>
  </si>
  <si>
    <t xml:space="preserve"> January 1, 2017 due to legislative change</t>
  </si>
  <si>
    <t xml:space="preserve">Estimated savings on claims occurring after </t>
  </si>
  <si>
    <t>Annual severity trend</t>
  </si>
  <si>
    <t>Annual claim count trend</t>
  </si>
  <si>
    <t>Premium</t>
  </si>
  <si>
    <t>Adjustment</t>
  </si>
  <si>
    <t>On-Level</t>
  </si>
  <si>
    <t>Severity ($)</t>
  </si>
  <si>
    <t>Counts</t>
  </si>
  <si>
    <t>Claim</t>
  </si>
  <si>
    <t xml:space="preserve">Accident </t>
  </si>
  <si>
    <t xml:space="preserve">Ultimate </t>
  </si>
  <si>
    <t>($000)</t>
  </si>
  <si>
    <t>Ult Counts</t>
  </si>
  <si>
    <t>Claim Counts</t>
  </si>
  <si>
    <t>Calendar</t>
  </si>
  <si>
    <t>Trended</t>
  </si>
  <si>
    <t>Estimate projected, ultimate frequency for the latest two accident years:</t>
  </si>
  <si>
    <t>Given the following information as of December 31, 2017:</t>
  </si>
  <si>
    <t>Part a.</t>
  </si>
  <si>
    <t>Points:</t>
  </si>
  <si>
    <t>Solution -&gt;</t>
  </si>
  <si>
    <t>Q #17</t>
  </si>
  <si>
    <t>Exam 5</t>
  </si>
  <si>
    <t>Fall 2018</t>
  </si>
  <si>
    <t>Source:</t>
  </si>
  <si>
    <t>Reserving - Frequency-Severity Technique #3 (Disposal Rates)</t>
  </si>
  <si>
    <t>Claims</t>
  </si>
  <si>
    <t>Unpaid</t>
  </si>
  <si>
    <t>Projected Incremental Paid Claims</t>
  </si>
  <si>
    <t>Incremental Paid Severities Adjusted to Cost Level of Accident Year</t>
  </si>
  <si>
    <r>
      <rPr>
        <u/>
        <sz val="12"/>
        <color theme="1"/>
        <rFont val="Calibri"/>
        <family val="2"/>
      </rPr>
      <t>Justification</t>
    </r>
    <r>
      <rPr>
        <b/>
        <sz val="12"/>
        <color theme="1"/>
        <rFont val="Calibri"/>
        <family val="2"/>
      </rPr>
      <t xml:space="preserve">: </t>
    </r>
    <r>
      <rPr>
        <sz val="12"/>
        <color theme="1"/>
        <rFont val="Calibri"/>
        <family val="2"/>
      </rPr>
      <t>There are no clear trends, so I select the average.</t>
    </r>
  </si>
  <si>
    <t>Selected</t>
  </si>
  <si>
    <t>Trended Incremental Severities</t>
  </si>
  <si>
    <t>Estimate unpaid claims for accident year 2017 using a frequency-severity technique.</t>
  </si>
  <si>
    <t>Project Incremental Severities</t>
  </si>
  <si>
    <t>•    There is no development beyond 48 months.</t>
  </si>
  <si>
    <t>•    There are no partial payments.</t>
  </si>
  <si>
    <t>Claim severity trend</t>
  </si>
  <si>
    <t>Projected Incremental Closed Claim Counts</t>
  </si>
  <si>
    <r>
      <rPr>
        <u/>
        <sz val="12"/>
        <color theme="1"/>
        <rFont val="Calibri"/>
        <family val="2"/>
      </rPr>
      <t>Justification</t>
    </r>
    <r>
      <rPr>
        <b/>
        <sz val="12"/>
        <color theme="1"/>
        <rFont val="Calibri"/>
        <family val="2"/>
      </rPr>
      <t xml:space="preserve">: </t>
    </r>
    <r>
      <rPr>
        <sz val="12"/>
        <color theme="1"/>
        <rFont val="Calibri"/>
        <family val="2"/>
      </rPr>
      <t>For credibility, I selected the average.</t>
    </r>
  </si>
  <si>
    <t>Ultimate Claim Counts</t>
  </si>
  <si>
    <t>Accident Year</t>
  </si>
  <si>
    <t>Disposal Rate</t>
  </si>
  <si>
    <t>Incremental Paid Severities as of (months)</t>
  </si>
  <si>
    <t>Cumulative Closed Claim Counts as of (months)</t>
  </si>
  <si>
    <t>Project Incremental Claim Counts</t>
  </si>
  <si>
    <t>An insurer has the following data evaluated as of December 31, 2017:</t>
  </si>
  <si>
    <t>Because incremental severities and a selected trend is given, I will use the disposal rates technique. Approach #1 (Freq-Sev Development approach) could also be used.</t>
  </si>
  <si>
    <t>Spring 2018</t>
  </si>
  <si>
    <t>Reserving - Frequency-Severity Technique #1 (Development Approach)</t>
  </si>
  <si>
    <t>Make sure to calculate the age-to-age factors for reported severities. Don't use the age-to-age factors for reported claims. Make sure to project reported severities for AY 2014-2016 to 2017 levels and at ultimate. That means developing to ultimate, trending to 2017, and reflecting the tort reform change.</t>
  </si>
  <si>
    <t xml:space="preserve">Ultimate Claims = </t>
  </si>
  <si>
    <t xml:space="preserve">Ultimate Severity = </t>
  </si>
  <si>
    <t xml:space="preserve">Ultimate Claim Counts = </t>
  </si>
  <si>
    <t>For AY 2017:</t>
  </si>
  <si>
    <t>Ultimate Claims = Ultimate Claim Counts x Ultimate Severity</t>
  </si>
  <si>
    <t xml:space="preserve">Selected 2017 Ultimate Severity = </t>
  </si>
  <si>
    <t>Period</t>
  </si>
  <si>
    <t>CDF</t>
  </si>
  <si>
    <t>Proj. Ult</t>
  </si>
  <si>
    <t>Tort Reform</t>
  </si>
  <si>
    <t>Reported</t>
  </si>
  <si>
    <t>Project ultimate severities to AY 2017 levels and select an appropriate severity:</t>
  </si>
  <si>
    <t>LDF</t>
  </si>
  <si>
    <t>To Ult</t>
  </si>
  <si>
    <t>36-48</t>
  </si>
  <si>
    <t>24-36</t>
  </si>
  <si>
    <t>12-24</t>
  </si>
  <si>
    <t>Estimate ultimate claims for accident year 2017 using a frequency-severity technique.</t>
  </si>
  <si>
    <t>•    There is no claim development after 48 months.</t>
  </si>
  <si>
    <t>•    The tort reform has no effect on claim reporting.</t>
  </si>
  <si>
    <t>Claim severity reduction due to tort reform on claims occuring on or after January 1, 2017</t>
  </si>
  <si>
    <t>Reported Severity Development</t>
  </si>
  <si>
    <t>NA</t>
  </si>
  <si>
    <t>Reported Claim Count Age-to-Age Factors</t>
  </si>
  <si>
    <t>Reported Claims Age-to-Age Factors</t>
  </si>
  <si>
    <t>Reported Severity Triangle</t>
  </si>
  <si>
    <t>Not Provided</t>
  </si>
  <si>
    <t>Reported Claim Count Development</t>
  </si>
  <si>
    <t>Cumulative Reported Claim Counts as of (months)</t>
  </si>
  <si>
    <t>Cumulative Reported Claims ($000s) as of (months)</t>
  </si>
  <si>
    <t>Given the following data as of December 31, 2017:</t>
  </si>
  <si>
    <t>Based on the data provided, I will use the Frequency-Severity Development Approach:</t>
  </si>
  <si>
    <t>Q #18</t>
  </si>
  <si>
    <r>
      <t xml:space="preserve">We're calculating tail severities, so the trended tail severity at age 48 months should include all the data for 48 months </t>
    </r>
    <r>
      <rPr>
        <i/>
        <u/>
        <sz val="12"/>
        <color theme="1"/>
        <rFont val="Calibri (Body)"/>
      </rPr>
      <t>and older</t>
    </r>
    <r>
      <rPr>
        <sz val="12"/>
        <color theme="1"/>
        <rFont val="Calibri (Body)"/>
      </rPr>
      <t>. Also, make sure to trend to 2016. The data shown here is just the tail portion of a claims triangle. The whole claims triangle would include data from AYs 2010-2016.</t>
    </r>
    <r>
      <rPr>
        <sz val="12"/>
        <color theme="1"/>
        <rFont val="Calibri"/>
        <family val="2"/>
      </rPr>
      <t xml:space="preserve">
</t>
    </r>
    <r>
      <rPr>
        <b/>
        <sz val="12"/>
        <color theme="1"/>
        <rFont val="Calibri"/>
        <family val="2"/>
        <scheme val="minor"/>
      </rPr>
      <t>Part b</t>
    </r>
    <r>
      <rPr>
        <sz val="12"/>
        <color theme="1"/>
        <rFont val="Calibri"/>
        <family val="2"/>
      </rPr>
      <t xml:space="preserve"> - This is a 0.75 point problem part, so make sure to provide an actual selection of what maturity to use for the tail and enough justification.</t>
    </r>
  </si>
  <si>
    <t xml:space="preserve">There are a lot of incremental claims at 48 months and the trended incremental severities at 48 months appear stable down the column. For 60 months and older, the trended incremental severities show more volatility and the data is less credible with fewer claim counts. I recommend combining the 60 and older data for a trended tail severity. </t>
  </si>
  <si>
    <r>
      <t>Note:</t>
    </r>
    <r>
      <rPr>
        <sz val="12"/>
        <color theme="1"/>
        <rFont val="Calibri"/>
        <family val="2"/>
      </rPr>
      <t xml:space="preserve"> I only show the 72 and 84 calculations so that you can see how those are done and tie out with the values given in the problem.</t>
    </r>
  </si>
  <si>
    <t>severity to be used in a frequency-severity method for this insurance company.</t>
  </si>
  <si>
    <t>Discuss at which maturity age the data should be combined for the purpose of selecting an incremental tail</t>
  </si>
  <si>
    <t>0.75 point</t>
  </si>
  <si>
    <t>Trended Tail Severity</t>
  </si>
  <si>
    <t>Total Trended Paid Claims</t>
  </si>
  <si>
    <t>level.</t>
  </si>
  <si>
    <t>Total Closed Claim Counts</t>
  </si>
  <si>
    <t>Calculate the trended tail severities at maturity ages 48 months and 60 months at the accident year 2016 cost</t>
  </si>
  <si>
    <t>1.5 points</t>
  </si>
  <si>
    <t>84 &amp; Older</t>
  </si>
  <si>
    <t>72 &amp; Older</t>
  </si>
  <si>
    <t>60 &amp; Older</t>
  </si>
  <si>
    <t>48 &amp; Older</t>
  </si>
  <si>
    <t xml:space="preserve">•  Trended tail severity at 84 months at the accident year 2016 cost level = </t>
  </si>
  <si>
    <t xml:space="preserve">•  Trended tail severity at 72 months at the accident year 2016 cost level= </t>
  </si>
  <si>
    <t xml:space="preserve">•  Selected annual severity trend = </t>
  </si>
  <si>
    <t xml:space="preserve"> Year</t>
  </si>
  <si>
    <t>Incremental Paid Claims ($000) as of (months)</t>
  </si>
  <si>
    <t>Incremental Paid Severities</t>
  </si>
  <si>
    <t>Trend Inc Severities to 2016</t>
  </si>
  <si>
    <t>Incremental Closed Claim Counts as of (months)</t>
  </si>
  <si>
    <t>Incremental Paid Severities  = Inc Paid Claims / Inc Closed Claim Counts</t>
  </si>
  <si>
    <t>Given the following information for an insurance company as of December 31, 2016:</t>
  </si>
  <si>
    <t>Q #23</t>
  </si>
  <si>
    <t>Fall 2015</t>
  </si>
  <si>
    <t xml:space="preserve">BF Ultimate Claims = </t>
  </si>
  <si>
    <t xml:space="preserve">% Unreported (12 mo) = </t>
  </si>
  <si>
    <t xml:space="preserve">Freq-Sev Ultimate Claims = </t>
  </si>
  <si>
    <t xml:space="preserve">Selected Severity = </t>
  </si>
  <si>
    <t xml:space="preserve">Selected Frequency = </t>
  </si>
  <si>
    <t xml:space="preserve">Payroll = </t>
  </si>
  <si>
    <t>For AY 2016:</t>
  </si>
  <si>
    <t>Freq-Sev Ultimate Claims = Payroll x Selected Frequency x Selected Severity</t>
  </si>
  <si>
    <t>Part c.</t>
  </si>
  <si>
    <t>Seems stable, so I select the two-year average.</t>
  </si>
  <si>
    <t xml:space="preserve">Selected 2016 Severity = </t>
  </si>
  <si>
    <t>to 2016</t>
  </si>
  <si>
    <t>development technique with the frequency-severity technique.</t>
  </si>
  <si>
    <t>Estimate projected, ultimate severity for latest accident year:</t>
  </si>
  <si>
    <t>Calculate accident year 2016 ultimate claims using a Bornhuetter-Ferguson technique that blends the reported</t>
  </si>
  <si>
    <t>c.</t>
  </si>
  <si>
    <t>Select an appropriate ultimate severity estimate for accident year 2016.</t>
  </si>
  <si>
    <t>After projecting ultimate frequency to AY 2016 levels, there is a noticeable upward trend, so I will select the latest value for ultimate frequency.</t>
  </si>
  <si>
    <t>Select and briefly justify an ultimate frequency estimate for accident year 2016.</t>
  </si>
  <si>
    <t>1.75 points</t>
  </si>
  <si>
    <t>Justification</t>
  </si>
  <si>
    <t xml:space="preserve">•  Cumulative reported claims development factor at 12 months = </t>
  </si>
  <si>
    <t>% of Payroll ($000)</t>
  </si>
  <si>
    <t xml:space="preserve">Selected 2016 Frequency = </t>
  </si>
  <si>
    <t>•  Annual severity trend =</t>
  </si>
  <si>
    <t xml:space="preserve">•  Annual claim count trend = </t>
  </si>
  <si>
    <t xml:space="preserve">•  Annual inflation rate for payroll = </t>
  </si>
  <si>
    <t>not provided</t>
  </si>
  <si>
    <t>Payroll</t>
  </si>
  <si>
    <t>Projected</t>
  </si>
  <si>
    <t xml:space="preserve">Claim </t>
  </si>
  <si>
    <t>Indicated</t>
  </si>
  <si>
    <t>Ult Claim</t>
  </si>
  <si>
    <t>December 31, 2016:</t>
  </si>
  <si>
    <t>Estimate projected, ultimate frequency for the latest accident year:</t>
  </si>
  <si>
    <t>Given the following information about an insurance company's workers compensation book of business as of</t>
  </si>
  <si>
    <t>Q #20</t>
  </si>
  <si>
    <t>Fall 2017</t>
  </si>
  <si>
    <t>Because the data is given at half-years, you were expected to notice the different development pattern for reported severity in the first half and second half of an accident year. If you're given quarterly/semi-annual data, it's always a good idea to pay attention to whether seasonality is a factor. Part c specifically asks about seasonality, so that should also be a clue that seasonality may be involved in the part a answer.</t>
  </si>
  <si>
    <t>To test for seasonality, look at the ratio of closed-to-reported claim counts at half years. If one half of the year has a consistenly lower ratio than the other half, it could indicate slower claims payment/settlement during that half.</t>
  </si>
  <si>
    <r>
      <t xml:space="preserve">The claim count triangle is for claim counts </t>
    </r>
    <r>
      <rPr>
        <i/>
        <u/>
        <sz val="12"/>
        <color theme="1"/>
        <rFont val="Calibri"/>
        <family val="2"/>
      </rPr>
      <t>excluding claims closed with no payment</t>
    </r>
    <r>
      <rPr>
        <sz val="12"/>
        <color theme="1"/>
        <rFont val="Calibri"/>
        <family val="2"/>
      </rPr>
      <t>. Some claims may be opened by in the first year but close in the second year with no payment, causing downward claim count development.</t>
    </r>
  </si>
  <si>
    <t xml:space="preserve">as of Eval </t>
  </si>
  <si>
    <t>For the 6-12 age-to-age factors, there's a clear seasonality effect, so I selected two different patterns for the first and second half of the year.</t>
  </si>
  <si>
    <t>CDF (Half 2)</t>
  </si>
  <si>
    <t>Discuss a diagnostic that can be used to test for seasonality.</t>
  </si>
  <si>
    <t>LDF (Half 2)</t>
  </si>
  <si>
    <t>CDF (Half 1)</t>
  </si>
  <si>
    <t>Explain why the downward development observed in the claim count triangle in part a. above may occur.</t>
  </si>
  <si>
    <t>LDF (Half 1)</t>
  </si>
  <si>
    <t>30-36</t>
  </si>
  <si>
    <t>24-30</t>
  </si>
  <si>
    <t>18-24</t>
  </si>
  <si>
    <t>12-18</t>
  </si>
  <si>
    <t>6-12</t>
  </si>
  <si>
    <t>Calculate ultimate claims for accident year 2016 using a frequency-severity technique.</t>
  </si>
  <si>
    <t>2.25 points</t>
  </si>
  <si>
    <t>• There is no development in counts or severity beyond 36 months.</t>
  </si>
  <si>
    <t>2016-2</t>
  </si>
  <si>
    <t xml:space="preserve">2016-1 </t>
  </si>
  <si>
    <t xml:space="preserve">2015-2 </t>
  </si>
  <si>
    <t>2015-1</t>
  </si>
  <si>
    <t>2014-2</t>
  </si>
  <si>
    <t xml:space="preserve">2014-1 </t>
  </si>
  <si>
    <t>Half-Year</t>
  </si>
  <si>
    <t>Payment as of (months)</t>
  </si>
  <si>
    <t>Reported Severity ($) Excluding Claims Closed with No</t>
  </si>
  <si>
    <t>No Payment as of (months)</t>
  </si>
  <si>
    <t>Reported Claim Counts Excluding Claims Closed with</t>
  </si>
  <si>
    <t>Use the frequncy-severity development approach:</t>
  </si>
  <si>
    <t>Given the following claim experience:</t>
  </si>
  <si>
    <t>For this problem, the law change doesn't actually impact the answer because it doesn't affect the CDFs.</t>
  </si>
  <si>
    <t>Ultimate Severity =</t>
  </si>
  <si>
    <t>Ultimate Claim Counts =</t>
  </si>
  <si>
    <t>Estimate ultimate claims for accident year 2016 as of December 31, 2016 using a frequency-severity technique.</t>
  </si>
  <si>
    <t>•  There is no loss trend.</t>
  </si>
  <si>
    <t xml:space="preserve">    occurring on or after January 1, 2016. The expected impact is a 25% reduction in claim severity.</t>
  </si>
  <si>
    <t xml:space="preserve">•  A new law limiting claimant benefits came into effect on January 1, 2016 and is applicable to accidents </t>
  </si>
  <si>
    <t>•  There is no development after 36 months for reported claims or reported claim counts.</t>
  </si>
  <si>
    <t>Reported Severity - Adjusted to 2016 Level</t>
  </si>
  <si>
    <t>Counts as of (months)</t>
  </si>
  <si>
    <t xml:space="preserve">Cumulative Reported Claims </t>
  </si>
  <si>
    <t>($000) as of (months)</t>
  </si>
  <si>
    <t>Spring 2017</t>
  </si>
  <si>
    <r>
      <rPr>
        <b/>
        <sz val="12"/>
        <color theme="1"/>
        <rFont val="Calibri"/>
        <family val="2"/>
        <scheme val="minor"/>
      </rPr>
      <t>Part a</t>
    </r>
    <r>
      <rPr>
        <sz val="12"/>
        <color theme="1"/>
        <rFont val="Calibri"/>
        <family val="2"/>
      </rPr>
      <t xml:space="preserve"> - You could instead trend everything to 2015 cost levels and make a selection that way without needing to do the detrend part. Just make sure that you're consistent throughout. See the Examiner's Report, the cookbook recipe, and the examples in the Friedland Reserving textbook if you had difficulty with this one.
</t>
    </r>
    <r>
      <rPr>
        <b/>
        <sz val="12"/>
        <color theme="1"/>
        <rFont val="Calibri"/>
        <family val="2"/>
        <scheme val="minor"/>
      </rPr>
      <t>Part b</t>
    </r>
    <r>
      <rPr>
        <sz val="12"/>
        <color theme="1"/>
        <rFont val="Calibri"/>
        <family val="2"/>
      </rPr>
      <t xml:space="preserve"> - Any answer properly based on the key assumptions of frequency-severity techniques and grounded in the text should work. See the section "When the Frequency-Severity Techniques Work and When they Do Not." Take a look at other sample solutions in the Examiner's Report.</t>
    </r>
  </si>
  <si>
    <t>•  These techniques aren't useful when the needed data isn't available or when the claim count definition or claims processing hasn't been consistent over time.</t>
  </si>
  <si>
    <t>Not Useful Situation</t>
  </si>
  <si>
    <t>•  They can be useful to explicitly reflect inflation instead of assuming that past development patterns will properly account for inflationary forces.</t>
  </si>
  <si>
    <t>Useful Situation</t>
  </si>
  <si>
    <t xml:space="preserve">AY 2015 IBNR = </t>
  </si>
  <si>
    <t xml:space="preserve">Earned Premium = </t>
  </si>
  <si>
    <t>For AY 2015:</t>
  </si>
  <si>
    <t>Freq-Sev Ultimate Claims = Earned Prem x Selected Frequency x Selected Severity</t>
  </si>
  <si>
    <t xml:space="preserve">Selected 2015 Severity = </t>
  </si>
  <si>
    <t>are not useful.</t>
  </si>
  <si>
    <t>Briefly describe one situation where the frequency-severity techniques are useful and one situation where they</t>
  </si>
  <si>
    <t>Next, we need to estimate projected, ultimate severity for 2015 by detrending the AY 2016 selected ultimate severity:</t>
  </si>
  <si>
    <t>Estimate the IBNR for accident year 2015 as of December 31, 2016 using a frequency-severity technique.</t>
  </si>
  <si>
    <t>The 2012 frequency is quite low, so I will take the two year average assuming that 2015 is similar to 2013 and 2014.</t>
  </si>
  <si>
    <t xml:space="preserve">•  Accident year 2015 cumulative reported claims as of December 31, 2016 = </t>
  </si>
  <si>
    <t>•  Accident year 2016 selected ultimate severity =</t>
  </si>
  <si>
    <t xml:space="preserve">•  Annual severity trend = </t>
  </si>
  <si>
    <t>% of Earned Prem ($000)</t>
  </si>
  <si>
    <t xml:space="preserve">Selected 2015 Frequency = </t>
  </si>
  <si>
    <t>Earned Prem</t>
  </si>
  <si>
    <t>Factor to 2016</t>
  </si>
  <si>
    <t xml:space="preserve"> ($000)</t>
  </si>
  <si>
    <t xml:space="preserve">Level Adjustment </t>
  </si>
  <si>
    <t>Premium On-</t>
  </si>
  <si>
    <t>Given the following information for a private passenger auto insurer as of December 31, 2016:</t>
  </si>
  <si>
    <t>We first need to select a projected, ultimate frequency for 2015 using the prior years. We have on-level factors for 2016, so we'll first project everything to 2016, make a selection, then detrend to 2015:</t>
  </si>
  <si>
    <t>Q #16</t>
  </si>
  <si>
    <t>listed in part b. above</t>
  </si>
  <si>
    <t>Briefly describe an adjustment to the frequency-severity technique using disposal rates for each of the issues</t>
  </si>
  <si>
    <t>See the Examiner's Report and the Frequency-Severity section in Reserving. Other answers that are grounded in the Reserving text should be fine.</t>
  </si>
  <si>
    <t>current situation.</t>
  </si>
  <si>
    <t>Briefly describe two reasons the frequency-severity technique using disposal rates may not be appropriate in the</t>
  </si>
  <si>
    <t>•  Use the Berquist-Sherman method to restate the data to the current claims settlement pattern.</t>
  </si>
  <si>
    <t>Briefly describe two reasons the frequency-severity technique using disposal rates may be appropriate in the</t>
  </si>
  <si>
    <t>• Could exclude partial payments from severity and then add them back in the period where the corresponding claim closes.</t>
  </si>
  <si>
    <t>•  The claims department has been attempting to settle claims faster.</t>
  </si>
  <si>
    <t>•  There has been significant claim inflation over the last several years.</t>
  </si>
  <si>
    <t>•  The claims department has been strengthening case reserves for the last several years.</t>
  </si>
  <si>
    <t>•  The frequency development will be distorted by the extended statute of limitations and the faster settlement pattern, so historical data may not be predictive of the future.</t>
  </si>
  <si>
    <t xml:space="preserve">    development periods compared to previous years.</t>
  </si>
  <si>
    <t>•  This techniques assumes insignificant partial payments, which is not the case for this line.</t>
  </si>
  <si>
    <t>•  Recently the statute of limitations was extended, resulting in a significant increase in claim counts at later</t>
  </si>
  <si>
    <t>•  This line of business commonly has partial payments made on claims.</t>
  </si>
  <si>
    <t>•  The claim inflation can be explicitly reflected with the severity trend.</t>
  </si>
  <si>
    <t>technique using disposal rates. Given the following information:</t>
  </si>
  <si>
    <t>• It only uses paid data,  so it won't be affected by the change in case reserves.</t>
  </si>
  <si>
    <t>An actuary is calculating ultimate claim estimates for a long-tailed line of business using the frequency-severity</t>
  </si>
  <si>
    <t>Fall 2016</t>
  </si>
  <si>
    <r>
      <t xml:space="preserve">Because of the changing claim closure rates, it's not appropriate to use paid severities or closed claim count data. Instead, you needed to use the reported data for part b.
</t>
    </r>
    <r>
      <rPr>
        <b/>
        <sz val="12"/>
        <color theme="1"/>
        <rFont val="Calibri"/>
        <family val="2"/>
      </rPr>
      <t>Part a</t>
    </r>
    <r>
      <rPr>
        <sz val="12"/>
        <color theme="1"/>
        <rFont val="Calibri"/>
        <family val="2"/>
      </rPr>
      <t xml:space="preserve"> - You could also calculate the Ratio of Paid-to-Reported Claims triangle or Disposal Rates triangle for part a. See the sample solutions in the Examiner's Report.</t>
    </r>
  </si>
  <si>
    <t>Rept Severity</t>
  </si>
  <si>
    <t>Calculate an appropriate frequency-severity estimate of ultimate claims for accident years 2014 and 2015.</t>
  </si>
  <si>
    <t>2.5 points</t>
  </si>
  <si>
    <t>Determine whether evidence exists to support that claims are closing more quickly starting in 2014</t>
  </si>
  <si>
    <t xml:space="preserve">•  48-Ultimate reported severity factor = </t>
  </si>
  <si>
    <t xml:space="preserve">•  48-Ultimate paid severity factor = </t>
  </si>
  <si>
    <t xml:space="preserve">•  48-Ultimate closed claim count factor = </t>
  </si>
  <si>
    <t xml:space="preserve">•  48-Ultimate reported claim count factor = </t>
  </si>
  <si>
    <t>Because of the changing claims settlement rate, I will use reported data to avoid the distortion.</t>
  </si>
  <si>
    <t>Reported Claims ($000s) as of (months)</t>
  </si>
  <si>
    <t>Reported Claim Counts as of (months)</t>
  </si>
  <si>
    <t>The closed-to-reported claim count ratio is noticeably higher for the last two diagonals. This shows that claims are closing more quickly since 2014.</t>
  </si>
  <si>
    <t>Paid Claims ($000s) as of (months)</t>
  </si>
  <si>
    <t>Closed Claim Counts as of (months)</t>
  </si>
  <si>
    <t>Look at the ratio of closed-to-reported claim counts to test for changes in settlement rates:</t>
  </si>
  <si>
    <t>company made an effort to close claims more quickly starting in 2014. Given the following information:</t>
  </si>
  <si>
    <t>An actuary working at a n insurance company is using a frequency-severity technique to estimate ultimate claims. The</t>
  </si>
  <si>
    <t>Q #22</t>
  </si>
  <si>
    <t>See the Examiner's Report for some more sample solutions and context about what was accepted.</t>
  </si>
  <si>
    <t>Because this is a larger insurer, I recommend splitting the data between small and large deductible policies and estimate unpaid claims separately.</t>
  </si>
  <si>
    <t>deductible offerings described in part b. above.</t>
  </si>
  <si>
    <t>Recommend and justify an improvement to the actuary's estimation of unpaid claims given the change in</t>
  </si>
  <si>
    <t>impact of this change on the frequency-severity technique, including an assessment of the appropriateness of the</t>
  </si>
  <si>
    <t>The insurer recently changed their offering from large deductible policies to small deductible policies. Discuss the</t>
  </si>
  <si>
    <t>1.25 points</t>
  </si>
  <si>
    <t>It would not be appropriate to use a frequency-severity approach without adjusting the data because it assumes a stable and resonably homogenous types of claims. The older data with large deductibles will have a lower frequency and higher severity while more recent data with smaller deductibles will have higher frequency and lower severity. Because of the change, the historical frequency/severity trends will not be predictive of the future.</t>
  </si>
  <si>
    <t>general liability.</t>
  </si>
  <si>
    <t>Discuss whether the frequency-severity technique is appropriate for determining an estimate of unpaid claims for</t>
  </si>
  <si>
    <t>unpaid claims.</t>
  </si>
  <si>
    <t>It's appropriate. General Liability is a long-tail line and frequency-severity techniques avoid the innaccuracy of development methods in immature accident years by analyzing frequency and severity development and trends separately.</t>
  </si>
  <si>
    <t>An actuary for a large general liability insurer uses a frequency-severity technique to determine the estimate of</t>
  </si>
  <si>
    <r>
      <rPr>
        <b/>
        <sz val="12"/>
        <color theme="1"/>
        <rFont val="Calibri"/>
        <family val="2"/>
        <scheme val="minor"/>
      </rPr>
      <t>Part a</t>
    </r>
    <r>
      <rPr>
        <sz val="12"/>
        <color theme="1"/>
        <rFont val="Calibri"/>
        <family val="2"/>
      </rPr>
      <t xml:space="preserve"> - The solution could be simplified a little bit since you only really need to calculate the values shown in blue. Ultimately, all we're doing is calculating projected incremental claim counts and severities and multiplying them to get the unpaid claims.</t>
    </r>
  </si>
  <si>
    <t>•  Exclude AY 2013 severity data when selecting trended incremental severities for each maturity.</t>
  </si>
  <si>
    <t>•  Adjust the expected increment severities for AY 2013 to reflect the one-time increase.</t>
  </si>
  <si>
    <t>Adjustments</t>
  </si>
  <si>
    <r>
      <t xml:space="preserve">Note: </t>
    </r>
    <r>
      <rPr>
        <sz val="12"/>
        <color theme="1"/>
        <rFont val="Calibri"/>
        <family val="2"/>
      </rPr>
      <t>Select the latest diagonal based on the bullet point in the problem.</t>
    </r>
  </si>
  <si>
    <t>would be appropriate in this scenario.</t>
  </si>
  <si>
    <t>frequency or disposal rates. Briefly discuss two adjustments to the disposal rate frequency-severity technique that</t>
  </si>
  <si>
    <t>Assume accident year 2013 experienced a one-time increase in the severity of claim payments with no impact on</t>
  </si>
  <si>
    <t>Using the disposal rate frequency-severity technique, calculate the ultimate claims.</t>
  </si>
  <si>
    <t>2 points</t>
  </si>
  <si>
    <t>Trended Incremental Paid Severity</t>
  </si>
  <si>
    <t xml:space="preserve">•  Annual severity trend is </t>
  </si>
  <si>
    <t>•  There is no development beyond 36 months.</t>
  </si>
  <si>
    <t>•  The latest diagonal is representative of current claim adjusting practices.</t>
  </si>
  <si>
    <t>&lt;-- Match the ultimate claim counts</t>
  </si>
  <si>
    <t>36 months</t>
  </si>
  <si>
    <t>24 months</t>
  </si>
  <si>
    <t>12 months</t>
  </si>
  <si>
    <t>Cumulative Paid Claims ($000)</t>
  </si>
  <si>
    <t>Cumulative Closed Claim Counts</t>
  </si>
  <si>
    <t>Given the following data as of December 31, 2014:</t>
  </si>
  <si>
    <t>Q #21</t>
  </si>
  <si>
    <t>Spring 2015</t>
  </si>
  <si>
    <t>Reserving Ch. 11 - pg. 195-196, 212-213</t>
  </si>
  <si>
    <t>Source</t>
  </si>
  <si>
    <t>Appropriate because frequency-severity techniques can be used with paid clams data that wouldn't be impacted by changes in case reserving philosophy.</t>
  </si>
  <si>
    <t>Part d.</t>
  </si>
  <si>
    <t xml:space="preserve">May be appropriate if we adjust our selected severities to reflect the severity increase in recent periods. </t>
  </si>
  <si>
    <t>Alternatively</t>
  </si>
  <si>
    <t>Not appropriate. It requires stable, reasonably homogenous types of claims. This is violated if recently there's been an increase in particularly high-severity.</t>
  </si>
  <si>
    <t>A line of business that has experienced changes in case reserving philosophy during the experience period.</t>
  </si>
  <si>
    <t>d.</t>
  </si>
  <si>
    <t>A line of business with a recent increase in high severity claims during the experience period.</t>
  </si>
  <si>
    <t>It depends on how reopened claims show up in the insurer's systems, but it may not be appropriate because it can distort claim counts which affects both frequency and severity. These techniques assume claim counts are consistently grouped and defined.</t>
  </si>
  <si>
    <t>A line of business with a significant proportion of reopened claims.</t>
  </si>
  <si>
    <t>A very long-tailed line of business.</t>
  </si>
  <si>
    <t>It's appropriate. Development methods can be unstable/innaccurate for recent accident years of long-tail lines. Frequency-severity techniques can address this by analyzing frequency and severity development separately.</t>
  </si>
  <si>
    <t>Discuss whether a frequency-severity technique is appropriate to estimate ultimate claims for the following:</t>
  </si>
  <si>
    <t>Q #19</t>
  </si>
  <si>
    <t>Spring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</si>
</sst>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00"/>
    <numFmt numFmtId="165" formatCode="#,##0.0"/>
    <numFmt numFmtId="166" formatCode="0.0%"/>
    <numFmt numFmtId="167" formatCode="0.000"/>
    <numFmt numFmtId="168" formatCode="_(* #,##0_);_(* \(#,##0\);_(* &quot;-&quot;??_);_(@_)"/>
    <numFmt numFmtId="169" formatCode="[$$-409]#,##0"/>
    <numFmt numFmtId="170" formatCode="_(* #,##0.000_);_(* \(#,##0.000\);_(* &quot;-&quot;??_);_(@_)"/>
    <numFmt numFmtId="171" formatCode="0_);\(0\)"/>
  </numFmts>
  <fonts count="18" x14ac:knownFonts="1">
    <font>
      <sz val="12"/>
      <color theme="1"/>
      <name val="Calibri"/>
      <family val="2"/>
    </font>
    <font>
      <sz val="12"/>
      <color theme="1"/>
      <name val="Calibri"/>
      <family val="2"/>
    </font>
    <font>
      <b/>
      <sz val="12"/>
      <color theme="1"/>
      <name val="Calibri"/>
      <family val="2"/>
    </font>
    <font>
      <sz val="12"/>
      <color theme="1"/>
      <name val="Calibri"/>
      <family val="2"/>
      <scheme val="minor"/>
    </font>
    <font>
      <b/>
      <sz val="14"/>
      <color theme="1"/>
      <name val="Calibri"/>
      <family val="2"/>
      <scheme val="minor"/>
    </font>
    <font>
      <b/>
      <sz val="12"/>
      <color theme="1"/>
      <name val="Calibri"/>
      <family val="2"/>
      <scheme val="minor"/>
    </font>
    <font>
      <i/>
      <u/>
      <sz val="12"/>
      <color theme="1"/>
      <name val="Calibri"/>
      <family val="2"/>
      <scheme val="minor"/>
    </font>
    <font>
      <sz val="12"/>
      <color theme="1"/>
      <name val="Arial"/>
      <family val="2"/>
    </font>
    <font>
      <sz val="11"/>
      <color rgb="FF000000"/>
      <name val="Calibri"/>
      <family val="2"/>
      <charset val="1"/>
    </font>
    <font>
      <sz val="12"/>
      <color rgb="FF000000"/>
      <name val="Calibri"/>
      <family val="2"/>
    </font>
    <font>
      <sz val="11"/>
      <color theme="1"/>
      <name val="Calibri"/>
      <family val="2"/>
      <scheme val="minor"/>
    </font>
    <font>
      <u/>
      <sz val="12"/>
      <color theme="1"/>
      <name val="Calibri"/>
      <family val="2"/>
    </font>
    <font>
      <b/>
      <sz val="14"/>
      <color theme="1"/>
      <name val="Calibri"/>
      <family val="2"/>
    </font>
    <font>
      <i/>
      <u/>
      <sz val="12"/>
      <color theme="1"/>
      <name val="Calibri (Body)"/>
    </font>
    <font>
      <sz val="12"/>
      <color theme="1"/>
      <name val="Calibri (Body)"/>
    </font>
    <font>
      <i/>
      <u/>
      <sz val="12"/>
      <color theme="1"/>
      <name val="Calibri"/>
      <family val="2"/>
    </font>
    <font>
      <u/>
      <sz val="12"/>
      <color theme="1"/>
      <name val="Calibri"/>
      <family val="2"/>
      <scheme val="minor"/>
    </font>
    <font>
      <sz val="11"/>
      <color theme="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s>
  <borders count="32">
    <border>
      <left/>
      <right/>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3" fillId="0" borderId="0"/>
    <xf numFmtId="9" fontId="3" fillId="0" borderId="0" applyFont="0" applyFill="0" applyBorder="0" applyAlignment="0" applyProtection="0"/>
    <xf numFmtId="0" fontId="8" fillId="0" borderId="0"/>
    <xf numFmtId="0" fontId="10" fillId="0" borderId="0"/>
    <xf numFmtId="0" fontId="1" fillId="0" borderId="0"/>
    <xf numFmtId="43" fontId="3" fillId="0" borderId="0" applyFont="0" applyFill="0" applyBorder="0" applyAlignment="0" applyProtection="0"/>
    <xf numFmtId="0" fontId="1" fillId="0" borderId="0"/>
  </cellStyleXfs>
  <cellXfs count="228">
    <xf numFmtId="0" fontId="0" fillId="0" borderId="0" xfId="0"/>
    <xf numFmtId="0" fontId="3" fillId="0" borderId="0" xfId="1"/>
    <xf numFmtId="0" fontId="3" fillId="0" borderId="0" xfId="1" applyAlignment="1">
      <alignment horizontal="left"/>
    </xf>
    <xf numFmtId="3" fontId="4" fillId="0" borderId="0" xfId="1" applyNumberFormat="1" applyFont="1"/>
    <xf numFmtId="3" fontId="3" fillId="0" borderId="0" xfId="1" applyNumberFormat="1"/>
    <xf numFmtId="0" fontId="1" fillId="0" borderId="0" xfId="1" applyFont="1"/>
    <xf numFmtId="0" fontId="6" fillId="0" borderId="0" xfId="1" applyFont="1"/>
    <xf numFmtId="0" fontId="2" fillId="0" borderId="0" xfId="1" applyFont="1"/>
    <xf numFmtId="3" fontId="1" fillId="0" borderId="1" xfId="1" applyNumberFormat="1" applyFont="1" applyBorder="1" applyAlignment="1">
      <alignment horizontal="center" wrapText="1"/>
    </xf>
    <xf numFmtId="3" fontId="1" fillId="0" borderId="0" xfId="1" applyNumberFormat="1" applyFont="1" applyAlignment="1">
      <alignment horizontal="center" wrapText="1"/>
    </xf>
    <xf numFmtId="0" fontId="7" fillId="0" borderId="0" xfId="1" applyFont="1"/>
    <xf numFmtId="0" fontId="1" fillId="0" borderId="2" xfId="1" applyFont="1" applyBorder="1" applyAlignment="1">
      <alignment horizontal="center" wrapText="1"/>
    </xf>
    <xf numFmtId="3" fontId="1" fillId="0" borderId="3" xfId="1" applyNumberFormat="1" applyFont="1" applyBorder="1" applyAlignment="1">
      <alignment horizontal="center" wrapText="1"/>
    </xf>
    <xf numFmtId="3" fontId="1" fillId="0" borderId="4" xfId="1" applyNumberFormat="1" applyFont="1" applyBorder="1" applyAlignment="1">
      <alignment horizontal="center" wrapText="1"/>
    </xf>
    <xf numFmtId="10" fontId="1" fillId="0" borderId="5" xfId="2" applyNumberFormat="1" applyFont="1" applyBorder="1" applyAlignment="1">
      <alignment horizontal="center" wrapText="1"/>
    </xf>
    <xf numFmtId="3" fontId="1" fillId="0" borderId="5" xfId="1" applyNumberFormat="1" applyFont="1" applyBorder="1" applyAlignment="1">
      <alignment horizontal="center" wrapText="1"/>
    </xf>
    <xf numFmtId="0" fontId="1" fillId="0" borderId="6" xfId="1" applyFont="1" applyBorder="1" applyAlignment="1">
      <alignment horizontal="center" wrapText="1"/>
    </xf>
    <xf numFmtId="3" fontId="1" fillId="0" borderId="7" xfId="1" applyNumberFormat="1" applyFont="1" applyBorder="1" applyAlignment="1">
      <alignment horizontal="center" wrapText="1"/>
    </xf>
    <xf numFmtId="10" fontId="1" fillId="0" borderId="0" xfId="2" applyNumberFormat="1" applyFont="1" applyAlignment="1">
      <alignment horizontal="center" wrapText="1"/>
    </xf>
    <xf numFmtId="3" fontId="1" fillId="0" borderId="8" xfId="1" applyNumberFormat="1" applyFont="1" applyBorder="1" applyAlignment="1">
      <alignment horizontal="center" wrapText="1"/>
    </xf>
    <xf numFmtId="0" fontId="1" fillId="0" borderId="3" xfId="1" applyFont="1" applyBorder="1" applyAlignment="1">
      <alignment horizontal="center"/>
    </xf>
    <xf numFmtId="0" fontId="1" fillId="0" borderId="5" xfId="1" applyFont="1" applyBorder="1" applyAlignment="1">
      <alignment horizontal="center" wrapText="1"/>
    </xf>
    <xf numFmtId="0" fontId="1" fillId="0" borderId="9" xfId="1" applyFont="1" applyBorder="1" applyAlignment="1">
      <alignment horizontal="center"/>
    </xf>
    <xf numFmtId="0" fontId="1" fillId="0" borderId="0" xfId="1" applyFont="1" applyAlignment="1">
      <alignment horizontal="center" vertical="center"/>
    </xf>
    <xf numFmtId="0" fontId="1" fillId="0" borderId="2" xfId="1" applyFont="1" applyBorder="1" applyAlignment="1">
      <alignment horizontal="center" vertical="center"/>
    </xf>
    <xf numFmtId="3" fontId="1" fillId="0" borderId="0" xfId="1" applyNumberFormat="1" applyFont="1" applyAlignment="1">
      <alignment horizontal="center"/>
    </xf>
    <xf numFmtId="0" fontId="1" fillId="0" borderId="0" xfId="1" applyFont="1" applyAlignment="1">
      <alignment horizontal="center"/>
    </xf>
    <xf numFmtId="9" fontId="1" fillId="0" borderId="2" xfId="1" applyNumberFormat="1" applyFont="1" applyBorder="1" applyAlignment="1">
      <alignment horizontal="center"/>
    </xf>
    <xf numFmtId="164" fontId="1" fillId="0" borderId="0" xfId="1" applyNumberFormat="1" applyFont="1" applyAlignment="1">
      <alignment horizontal="center" wrapText="1"/>
    </xf>
    <xf numFmtId="165" fontId="1" fillId="0" borderId="0" xfId="1" applyNumberFormat="1" applyFont="1" applyAlignment="1">
      <alignment horizontal="center" wrapText="1"/>
    </xf>
    <xf numFmtId="0" fontId="1" fillId="0" borderId="10" xfId="1" applyFont="1" applyBorder="1" applyAlignment="1">
      <alignment horizontal="center" wrapText="1"/>
    </xf>
    <xf numFmtId="0" fontId="1" fillId="0" borderId="11" xfId="1" applyFont="1" applyBorder="1" applyAlignment="1">
      <alignment horizontal="center" vertical="center"/>
    </xf>
    <xf numFmtId="0" fontId="3" fillId="2" borderId="12" xfId="1" applyFill="1" applyBorder="1"/>
    <xf numFmtId="0" fontId="3" fillId="2" borderId="13" xfId="1" applyFill="1" applyBorder="1"/>
    <xf numFmtId="0" fontId="3" fillId="2" borderId="13" xfId="1" quotePrefix="1" applyFill="1" applyBorder="1"/>
    <xf numFmtId="0" fontId="3" fillId="2" borderId="14" xfId="1" applyFill="1" applyBorder="1" applyAlignment="1">
      <alignment horizontal="left"/>
    </xf>
    <xf numFmtId="0" fontId="3" fillId="2" borderId="15" xfId="1" applyFill="1" applyBorder="1"/>
    <xf numFmtId="0" fontId="3" fillId="2" borderId="0" xfId="1" applyFill="1"/>
    <xf numFmtId="0" fontId="3" fillId="2" borderId="16" xfId="1" applyFill="1" applyBorder="1" applyAlignment="1">
      <alignment horizontal="left"/>
    </xf>
    <xf numFmtId="0" fontId="3" fillId="2" borderId="0" xfId="1" applyFill="1" applyAlignment="1">
      <alignment horizontal="left"/>
    </xf>
    <xf numFmtId="0" fontId="3" fillId="2" borderId="0" xfId="1" applyFill="1" applyAlignment="1">
      <alignment horizontal="center"/>
    </xf>
    <xf numFmtId="10" fontId="1" fillId="0" borderId="0" xfId="2" applyNumberFormat="1" applyFont="1" applyBorder="1" applyAlignment="1">
      <alignment horizontal="center"/>
    </xf>
    <xf numFmtId="0" fontId="3" fillId="2" borderId="17" xfId="1" applyFill="1" applyBorder="1" applyAlignment="1">
      <alignment horizontal="center"/>
    </xf>
    <xf numFmtId="9" fontId="3" fillId="2" borderId="20" xfId="1" applyNumberFormat="1" applyFill="1" applyBorder="1" applyAlignment="1">
      <alignment horizontal="center"/>
    </xf>
    <xf numFmtId="10" fontId="1" fillId="0" borderId="0" xfId="2" applyNumberFormat="1" applyFont="1" applyAlignment="1">
      <alignment horizontal="center"/>
    </xf>
    <xf numFmtId="3" fontId="1" fillId="0" borderId="2" xfId="1" applyNumberFormat="1" applyFont="1" applyBorder="1" applyAlignment="1">
      <alignment horizontal="center" wrapText="1"/>
    </xf>
    <xf numFmtId="166" fontId="3" fillId="2" borderId="20" xfId="1" applyNumberFormat="1" applyFill="1" applyBorder="1" applyAlignment="1">
      <alignment horizontal="center"/>
    </xf>
    <xf numFmtId="3" fontId="1" fillId="0" borderId="18" xfId="1" applyNumberFormat="1" applyFont="1" applyBorder="1" applyAlignment="1">
      <alignment horizontal="center" wrapText="1"/>
    </xf>
    <xf numFmtId="166" fontId="3" fillId="2" borderId="21" xfId="1" applyNumberFormat="1" applyFill="1" applyBorder="1" applyAlignment="1">
      <alignment horizontal="center"/>
    </xf>
    <xf numFmtId="3" fontId="3" fillId="2" borderId="0" xfId="1" applyNumberFormat="1" applyFill="1" applyAlignment="1">
      <alignment horizontal="center"/>
    </xf>
    <xf numFmtId="3" fontId="3" fillId="2" borderId="21" xfId="1" applyNumberFormat="1" applyFill="1" applyBorder="1" applyAlignment="1">
      <alignment horizontal="center"/>
    </xf>
    <xf numFmtId="0" fontId="3" fillId="2" borderId="21" xfId="1" applyFill="1" applyBorder="1" applyAlignment="1">
      <alignment horizontal="center"/>
    </xf>
    <xf numFmtId="167" fontId="3" fillId="2" borderId="21" xfId="1" applyNumberFormat="1" applyFill="1" applyBorder="1" applyAlignment="1">
      <alignment horizontal="center"/>
    </xf>
    <xf numFmtId="3" fontId="3" fillId="2" borderId="17" xfId="1" applyNumberFormat="1" applyFill="1" applyBorder="1" applyAlignment="1">
      <alignment horizontal="center"/>
    </xf>
    <xf numFmtId="0" fontId="3" fillId="2" borderId="6" xfId="1" applyFill="1" applyBorder="1" applyAlignment="1">
      <alignment horizontal="center"/>
    </xf>
    <xf numFmtId="0" fontId="3" fillId="2" borderId="10" xfId="1" applyFill="1" applyBorder="1" applyAlignment="1">
      <alignment horizontal="center"/>
    </xf>
    <xf numFmtId="164" fontId="1" fillId="0" borderId="2" xfId="1" applyNumberFormat="1" applyFont="1" applyBorder="1" applyAlignment="1">
      <alignment horizontal="center" wrapText="1"/>
    </xf>
    <xf numFmtId="0" fontId="3" fillId="2" borderId="2" xfId="1" applyFill="1" applyBorder="1" applyAlignment="1">
      <alignment horizontal="center"/>
    </xf>
    <xf numFmtId="0" fontId="3" fillId="2" borderId="22" xfId="1" applyFill="1" applyBorder="1" applyAlignment="1">
      <alignment horizontal="center"/>
    </xf>
    <xf numFmtId="0" fontId="3" fillId="2" borderId="11" xfId="1" applyFill="1" applyBorder="1" applyAlignment="1">
      <alignment horizontal="center"/>
    </xf>
    <xf numFmtId="167" fontId="3" fillId="2" borderId="17" xfId="1" applyNumberFormat="1" applyFill="1" applyBorder="1" applyAlignment="1">
      <alignment horizontal="center"/>
    </xf>
    <xf numFmtId="0" fontId="3" fillId="2" borderId="18" xfId="1" applyFill="1" applyBorder="1" applyAlignment="1">
      <alignment horizontal="center"/>
    </xf>
    <xf numFmtId="0" fontId="3" fillId="2" borderId="20" xfId="1" applyFill="1" applyBorder="1" applyAlignment="1">
      <alignment horizontal="center"/>
    </xf>
    <xf numFmtId="0" fontId="3" fillId="2" borderId="8" xfId="1" applyFill="1" applyBorder="1" applyAlignment="1">
      <alignment horizontal="center"/>
    </xf>
    <xf numFmtId="0" fontId="5" fillId="0" borderId="0" xfId="1" applyFont="1"/>
    <xf numFmtId="2" fontId="5" fillId="2" borderId="0" xfId="1" applyNumberFormat="1" applyFont="1" applyFill="1" applyAlignment="1">
      <alignment horizontal="center"/>
    </xf>
    <xf numFmtId="0" fontId="5" fillId="2" borderId="0" xfId="1" applyFont="1" applyFill="1"/>
    <xf numFmtId="0" fontId="3" fillId="2" borderId="23" xfId="1" applyFill="1" applyBorder="1"/>
    <xf numFmtId="0" fontId="3" fillId="2" borderId="24" xfId="1" applyFill="1" applyBorder="1"/>
    <xf numFmtId="0" fontId="3" fillId="2" borderId="24" xfId="1" applyFill="1" applyBorder="1" applyAlignment="1">
      <alignment horizontal="center"/>
    </xf>
    <xf numFmtId="0" fontId="5" fillId="2" borderId="24" xfId="1" applyFont="1" applyFill="1" applyBorder="1"/>
    <xf numFmtId="0" fontId="3" fillId="2" borderId="25" xfId="1" applyFill="1" applyBorder="1" applyAlignment="1">
      <alignment horizontal="left"/>
    </xf>
    <xf numFmtId="0" fontId="4" fillId="0" borderId="0" xfId="1" applyFont="1"/>
    <xf numFmtId="3" fontId="9" fillId="0" borderId="1" xfId="3" applyNumberFormat="1" applyFont="1" applyBorder="1" applyAlignment="1">
      <alignment horizontal="center"/>
    </xf>
    <xf numFmtId="3" fontId="9" fillId="3" borderId="0" xfId="4" applyNumberFormat="1" applyFont="1" applyFill="1" applyAlignment="1">
      <alignment horizontal="center" vertical="center" wrapText="1"/>
    </xf>
    <xf numFmtId="3" fontId="1" fillId="0" borderId="11" xfId="4" applyNumberFormat="1" applyFont="1" applyBorder="1" applyAlignment="1">
      <alignment horizontal="center" vertical="center" wrapText="1"/>
    </xf>
    <xf numFmtId="0" fontId="1" fillId="0" borderId="2" xfId="4" applyFont="1" applyBorder="1" applyAlignment="1">
      <alignment horizontal="center" vertical="center" wrapText="1"/>
    </xf>
    <xf numFmtId="0" fontId="1" fillId="0" borderId="3" xfId="5" applyBorder="1" applyAlignment="1">
      <alignment horizontal="center" vertical="center" wrapText="1"/>
    </xf>
    <xf numFmtId="0" fontId="1" fillId="0" borderId="5" xfId="5" applyBorder="1" applyAlignment="1">
      <alignment horizontal="center" vertical="center" wrapText="1"/>
    </xf>
    <xf numFmtId="0" fontId="1" fillId="0" borderId="10" xfId="5" applyBorder="1" applyAlignment="1">
      <alignment horizontal="center" vertical="center" wrapText="1"/>
    </xf>
    <xf numFmtId="0" fontId="1" fillId="0" borderId="6" xfId="5" applyBorder="1" applyAlignment="1">
      <alignment horizontal="center" vertical="center" wrapText="1"/>
    </xf>
    <xf numFmtId="0" fontId="9" fillId="0" borderId="9" xfId="3" applyFont="1" applyBorder="1" applyAlignment="1">
      <alignment horizontal="center"/>
    </xf>
    <xf numFmtId="0" fontId="1" fillId="0" borderId="2" xfId="5" applyBorder="1" applyAlignment="1">
      <alignment horizontal="center" vertical="center" wrapText="1"/>
    </xf>
    <xf numFmtId="3" fontId="2" fillId="3" borderId="19" xfId="4" applyNumberFormat="1" applyFont="1" applyFill="1" applyBorder="1" applyAlignment="1">
      <alignment horizontal="center" vertical="center" wrapText="1"/>
    </xf>
    <xf numFmtId="3" fontId="1" fillId="0" borderId="0" xfId="4" applyNumberFormat="1" applyFont="1" applyAlignment="1">
      <alignment horizontal="center" vertical="center" wrapText="1"/>
    </xf>
    <xf numFmtId="3" fontId="1" fillId="0" borderId="0" xfId="4" applyNumberFormat="1" applyFont="1" applyAlignment="1">
      <alignment horizontal="center" vertical="center"/>
    </xf>
    <xf numFmtId="0" fontId="3" fillId="2" borderId="14" xfId="1" applyFill="1" applyBorder="1"/>
    <xf numFmtId="0" fontId="3" fillId="2" borderId="26" xfId="1" applyFill="1" applyBorder="1"/>
    <xf numFmtId="0" fontId="3" fillId="2" borderId="27" xfId="1" applyFill="1" applyBorder="1"/>
    <xf numFmtId="0" fontId="3" fillId="2" borderId="27" xfId="1" quotePrefix="1" applyFill="1" applyBorder="1"/>
    <xf numFmtId="0" fontId="3" fillId="2" borderId="28" xfId="1" applyFill="1" applyBorder="1"/>
    <xf numFmtId="0" fontId="3" fillId="2" borderId="0" xfId="1" quotePrefix="1" applyFill="1"/>
    <xf numFmtId="0" fontId="3" fillId="2" borderId="16" xfId="1" applyFill="1" applyBorder="1"/>
    <xf numFmtId="0" fontId="3" fillId="2" borderId="16" xfId="1" applyFill="1" applyBorder="1" applyAlignment="1">
      <alignment horizontal="center"/>
    </xf>
    <xf numFmtId="1" fontId="9" fillId="3" borderId="0" xfId="4" applyNumberFormat="1" applyFont="1" applyFill="1" applyAlignment="1">
      <alignment horizontal="center" vertical="center" wrapText="1"/>
    </xf>
    <xf numFmtId="9" fontId="3" fillId="2" borderId="21" xfId="1" applyNumberFormat="1" applyFill="1" applyBorder="1" applyAlignment="1">
      <alignment horizontal="center"/>
    </xf>
    <xf numFmtId="0" fontId="11" fillId="0" borderId="0" xfId="5" applyFont="1" applyAlignment="1">
      <alignment vertical="center"/>
    </xf>
    <xf numFmtId="167" fontId="1" fillId="0" borderId="0" xfId="4" applyNumberFormat="1" applyFont="1" applyAlignment="1">
      <alignment horizontal="center" vertical="center" wrapText="1"/>
    </xf>
    <xf numFmtId="168" fontId="0" fillId="0" borderId="0" xfId="6" applyNumberFormat="1" applyFont="1"/>
    <xf numFmtId="0" fontId="3" fillId="0" borderId="0" xfId="1" applyAlignment="1">
      <alignment horizontal="left" wrapText="1"/>
    </xf>
    <xf numFmtId="0" fontId="3" fillId="2" borderId="25" xfId="1" applyFill="1" applyBorder="1"/>
    <xf numFmtId="0" fontId="12" fillId="0" borderId="0" xfId="1" applyFont="1"/>
    <xf numFmtId="0" fontId="1" fillId="0" borderId="0" xfId="1" applyFont="1" applyAlignment="1">
      <alignment horizontal="left" vertical="top" wrapText="1"/>
    </xf>
    <xf numFmtId="3" fontId="1" fillId="0" borderId="12" xfId="1" applyNumberFormat="1" applyFont="1" applyBorder="1" applyAlignment="1">
      <alignment horizontal="center"/>
    </xf>
    <xf numFmtId="0" fontId="1" fillId="0" borderId="13" xfId="1" applyFont="1" applyBorder="1"/>
    <xf numFmtId="0" fontId="1" fillId="0" borderId="14" xfId="1" applyFont="1" applyBorder="1"/>
    <xf numFmtId="3" fontId="2" fillId="0" borderId="0" xfId="1" applyNumberFormat="1" applyFont="1"/>
    <xf numFmtId="9" fontId="1" fillId="0" borderId="2" xfId="2" applyFont="1" applyBorder="1" applyAlignment="1">
      <alignment horizontal="center" wrapText="1"/>
    </xf>
    <xf numFmtId="167" fontId="1" fillId="0" borderId="0" xfId="1" applyNumberFormat="1" applyFont="1" applyAlignment="1">
      <alignment horizontal="center"/>
    </xf>
    <xf numFmtId="167" fontId="1" fillId="0" borderId="0" xfId="1" applyNumberFormat="1" applyFont="1" applyAlignment="1">
      <alignment horizontal="center" wrapText="1"/>
    </xf>
    <xf numFmtId="0" fontId="1" fillId="0" borderId="2" xfId="1" applyFont="1" applyBorder="1" applyAlignment="1">
      <alignment horizontal="center"/>
    </xf>
    <xf numFmtId="0" fontId="1" fillId="0" borderId="5" xfId="1" quotePrefix="1" applyFont="1" applyBorder="1" applyAlignment="1">
      <alignment horizontal="center" wrapText="1"/>
    </xf>
    <xf numFmtId="16" fontId="1" fillId="0" borderId="5" xfId="1" quotePrefix="1" applyNumberFormat="1" applyFont="1" applyBorder="1" applyAlignment="1">
      <alignment horizontal="center" wrapText="1"/>
    </xf>
    <xf numFmtId="9" fontId="3" fillId="2" borderId="0" xfId="1" applyNumberFormat="1" applyFill="1" applyAlignment="1">
      <alignment horizontal="center"/>
    </xf>
    <xf numFmtId="0" fontId="11" fillId="0" borderId="0" xfId="1" applyFont="1"/>
    <xf numFmtId="167" fontId="3" fillId="2" borderId="21" xfId="1" applyNumberFormat="1" applyFill="1" applyBorder="1" applyAlignment="1">
      <alignment horizontal="center" vertical="center"/>
    </xf>
    <xf numFmtId="0" fontId="3" fillId="2" borderId="21" xfId="1" applyFill="1" applyBorder="1" applyAlignment="1">
      <alignment horizontal="center" vertical="center"/>
    </xf>
    <xf numFmtId="3" fontId="3" fillId="2" borderId="21" xfId="1" applyNumberFormat="1" applyFill="1" applyBorder="1" applyAlignment="1">
      <alignment horizontal="center" vertical="center"/>
    </xf>
    <xf numFmtId="0" fontId="3" fillId="0" borderId="0" xfId="1" applyAlignment="1">
      <alignment horizontal="left" vertical="top" wrapText="1"/>
    </xf>
    <xf numFmtId="0" fontId="3" fillId="2" borderId="28" xfId="1" applyFill="1" applyBorder="1" applyAlignment="1">
      <alignment horizontal="left"/>
    </xf>
    <xf numFmtId="3" fontId="1" fillId="3" borderId="0" xfId="4" applyNumberFormat="1" applyFont="1" applyFill="1" applyAlignment="1">
      <alignment horizontal="center"/>
    </xf>
    <xf numFmtId="3" fontId="2" fillId="0" borderId="12" xfId="4" applyNumberFormat="1" applyFont="1" applyBorder="1" applyAlignment="1">
      <alignment horizontal="center"/>
    </xf>
    <xf numFmtId="3" fontId="2" fillId="0" borderId="14" xfId="4" applyNumberFormat="1" applyFont="1" applyBorder="1" applyAlignment="1">
      <alignment horizontal="center"/>
    </xf>
    <xf numFmtId="167" fontId="1" fillId="0" borderId="0" xfId="4" applyNumberFormat="1" applyFont="1"/>
    <xf numFmtId="0" fontId="1" fillId="0" borderId="0" xfId="4" applyFont="1" applyAlignment="1">
      <alignment vertical="center"/>
    </xf>
    <xf numFmtId="3" fontId="1" fillId="3" borderId="5" xfId="4" applyNumberFormat="1" applyFont="1" applyFill="1" applyBorder="1" applyAlignment="1">
      <alignment horizontal="center"/>
    </xf>
    <xf numFmtId="3" fontId="1" fillId="0" borderId="0" xfId="4" applyNumberFormat="1" applyFont="1" applyAlignment="1">
      <alignment horizontal="center"/>
    </xf>
    <xf numFmtId="3" fontId="1" fillId="0" borderId="6" xfId="4" applyNumberFormat="1" applyFont="1" applyBorder="1"/>
    <xf numFmtId="0" fontId="1" fillId="0" borderId="5" xfId="4" applyFont="1" applyBorder="1" applyAlignment="1">
      <alignment vertical="center"/>
    </xf>
    <xf numFmtId="3" fontId="1" fillId="0" borderId="2" xfId="4" applyNumberFormat="1" applyFont="1" applyBorder="1"/>
    <xf numFmtId="0" fontId="3" fillId="3" borderId="5" xfId="1" applyFill="1" applyBorder="1" applyAlignment="1">
      <alignment horizontal="center"/>
    </xf>
    <xf numFmtId="0" fontId="3" fillId="0" borderId="5" xfId="1" applyBorder="1" applyAlignment="1">
      <alignment horizontal="center"/>
    </xf>
    <xf numFmtId="0" fontId="3" fillId="0" borderId="6" xfId="1" applyBorder="1"/>
    <xf numFmtId="0" fontId="3" fillId="0" borderId="5" xfId="1" applyBorder="1"/>
    <xf numFmtId="169" fontId="3" fillId="2" borderId="0" xfId="1" applyNumberFormat="1" applyFill="1"/>
    <xf numFmtId="169" fontId="3" fillId="2" borderId="0" xfId="1" applyNumberFormat="1" applyFill="1" applyAlignment="1">
      <alignment horizontal="left"/>
    </xf>
    <xf numFmtId="9" fontId="3" fillId="2" borderId="0" xfId="1" applyNumberFormat="1" applyFill="1"/>
    <xf numFmtId="9" fontId="3" fillId="2" borderId="0" xfId="1" applyNumberFormat="1" applyFill="1" applyAlignment="1">
      <alignment horizontal="left"/>
    </xf>
    <xf numFmtId="0" fontId="3" fillId="2" borderId="29" xfId="1" applyFill="1" applyBorder="1" applyAlignment="1">
      <alignment horizontal="center"/>
    </xf>
    <xf numFmtId="3" fontId="1" fillId="0" borderId="12" xfId="1" applyNumberFormat="1" applyFont="1" applyBorder="1"/>
    <xf numFmtId="166" fontId="1" fillId="0" borderId="0" xfId="2" applyNumberFormat="1" applyFont="1" applyAlignment="1">
      <alignment horizontal="center"/>
    </xf>
    <xf numFmtId="0" fontId="2" fillId="0" borderId="0" xfId="1" applyFont="1" applyAlignment="1">
      <alignment horizontal="left" vertical="top" wrapText="1"/>
    </xf>
    <xf numFmtId="10" fontId="1" fillId="0" borderId="12" xfId="2" applyNumberFormat="1" applyFont="1" applyBorder="1" applyAlignment="1">
      <alignment horizontal="center"/>
    </xf>
    <xf numFmtId="0" fontId="1" fillId="0" borderId="0" xfId="1" applyFont="1" applyAlignment="1">
      <alignment horizontal="center" wrapText="1"/>
    </xf>
    <xf numFmtId="0" fontId="3" fillId="2" borderId="5" xfId="1" applyFill="1" applyBorder="1" applyAlignment="1">
      <alignment horizontal="center"/>
    </xf>
    <xf numFmtId="0" fontId="3" fillId="2" borderId="17" xfId="1" quotePrefix="1" applyFill="1" applyBorder="1" applyAlignment="1">
      <alignment horizontal="center"/>
    </xf>
    <xf numFmtId="0" fontId="3" fillId="2" borderId="19" xfId="1" applyFill="1" applyBorder="1" applyAlignment="1">
      <alignment horizontal="center"/>
    </xf>
    <xf numFmtId="3" fontId="1" fillId="0" borderId="1" xfId="1" applyNumberFormat="1" applyFont="1" applyBorder="1" applyAlignment="1">
      <alignment horizontal="center"/>
    </xf>
    <xf numFmtId="0" fontId="1" fillId="0" borderId="18" xfId="1" applyFont="1" applyBorder="1" applyAlignment="1">
      <alignment horizontal="center"/>
    </xf>
    <xf numFmtId="167" fontId="1" fillId="0" borderId="5" xfId="1" applyNumberFormat="1" applyFont="1" applyBorder="1" applyAlignment="1">
      <alignment horizontal="center"/>
    </xf>
    <xf numFmtId="3" fontId="1" fillId="0" borderId="6" xfId="1" applyNumberFormat="1" applyFont="1" applyBorder="1" applyAlignment="1">
      <alignment horizontal="center" wrapText="1"/>
    </xf>
    <xf numFmtId="164" fontId="1" fillId="0" borderId="5" xfId="1" applyNumberFormat="1" applyFont="1" applyBorder="1" applyAlignment="1">
      <alignment horizontal="center" wrapText="1"/>
    </xf>
    <xf numFmtId="0" fontId="11" fillId="0" borderId="0" xfId="1" applyFont="1" applyAlignment="1">
      <alignment vertical="center"/>
    </xf>
    <xf numFmtId="0" fontId="1" fillId="0" borderId="0" xfId="1" applyFont="1" applyAlignment="1">
      <alignment horizontal="left"/>
    </xf>
    <xf numFmtId="167" fontId="1" fillId="3" borderId="0" xfId="1" applyNumberFormat="1" applyFont="1" applyFill="1" applyAlignment="1">
      <alignment horizontal="center"/>
    </xf>
    <xf numFmtId="167" fontId="1" fillId="0" borderId="5" xfId="1" applyNumberFormat="1" applyFont="1" applyBorder="1" applyAlignment="1">
      <alignment horizontal="center" wrapText="1"/>
    </xf>
    <xf numFmtId="0" fontId="1" fillId="0" borderId="6" xfId="1" applyFont="1" applyBorder="1" applyAlignment="1">
      <alignment horizontal="center"/>
    </xf>
    <xf numFmtId="0" fontId="17" fillId="0" borderId="0" xfId="1" applyFont="1"/>
    <xf numFmtId="3" fontId="1" fillId="3" borderId="0" xfId="1" applyNumberFormat="1" applyFont="1" applyFill="1" applyAlignment="1">
      <alignment horizontal="center" wrapText="1"/>
    </xf>
    <xf numFmtId="0" fontId="16" fillId="0" borderId="0" xfId="1" applyFont="1"/>
    <xf numFmtId="0" fontId="3" fillId="0" borderId="13" xfId="1" applyBorder="1"/>
    <xf numFmtId="0" fontId="3" fillId="0" borderId="14" xfId="1" applyBorder="1"/>
    <xf numFmtId="3" fontId="2" fillId="0" borderId="0" xfId="1" applyNumberFormat="1" applyFont="1" applyAlignment="1">
      <alignment horizontal="center"/>
    </xf>
    <xf numFmtId="10" fontId="2" fillId="0" borderId="0" xfId="2" applyNumberFormat="1" applyFont="1" applyBorder="1" applyAlignment="1">
      <alignment horizontal="center"/>
    </xf>
    <xf numFmtId="10" fontId="3" fillId="0" borderId="0" xfId="1" applyNumberFormat="1"/>
    <xf numFmtId="169" fontId="3" fillId="2" borderId="21" xfId="1" applyNumberFormat="1" applyFill="1" applyBorder="1" applyAlignment="1">
      <alignment horizontal="center"/>
    </xf>
    <xf numFmtId="0" fontId="3" fillId="2" borderId="8" xfId="1" applyFill="1" applyBorder="1" applyAlignment="1">
      <alignment horizontal="center" vertical="center"/>
    </xf>
    <xf numFmtId="0" fontId="3" fillId="2" borderId="20" xfId="1" applyFill="1" applyBorder="1" applyAlignment="1">
      <alignment horizontal="center" vertical="center"/>
    </xf>
    <xf numFmtId="0" fontId="3" fillId="0" borderId="0" xfId="1" applyAlignment="1">
      <alignment horizontal="center" vertical="center"/>
    </xf>
    <xf numFmtId="164" fontId="1" fillId="3" borderId="0" xfId="1" applyNumberFormat="1" applyFont="1" applyFill="1" applyAlignment="1">
      <alignment horizontal="center" wrapText="1"/>
    </xf>
    <xf numFmtId="43" fontId="3" fillId="0" borderId="0" xfId="1" applyNumberFormat="1"/>
    <xf numFmtId="170" fontId="0" fillId="0" borderId="0" xfId="6" applyNumberFormat="1" applyFont="1"/>
    <xf numFmtId="3" fontId="1" fillId="0" borderId="1" xfId="7" applyNumberFormat="1" applyBorder="1" applyAlignment="1">
      <alignment horizontal="center"/>
    </xf>
    <xf numFmtId="3" fontId="1" fillId="0" borderId="7" xfId="7" applyNumberFormat="1" applyBorder="1" applyAlignment="1">
      <alignment horizontal="center"/>
    </xf>
    <xf numFmtId="0" fontId="1" fillId="0" borderId="9" xfId="7" applyBorder="1" applyAlignment="1">
      <alignment horizontal="center"/>
    </xf>
    <xf numFmtId="3" fontId="1" fillId="3" borderId="0" xfId="4" applyNumberFormat="1" applyFont="1" applyFill="1" applyAlignment="1">
      <alignment horizontal="center" vertical="center" wrapText="1"/>
    </xf>
    <xf numFmtId="0" fontId="11" fillId="0" borderId="0" xfId="4" applyFont="1" applyAlignment="1">
      <alignment vertical="center" wrapText="1"/>
    </xf>
    <xf numFmtId="1" fontId="9" fillId="3" borderId="2" xfId="4" applyNumberFormat="1" applyFont="1" applyFill="1" applyBorder="1" applyAlignment="1">
      <alignment horizontal="center" vertical="center" wrapText="1"/>
    </xf>
    <xf numFmtId="0" fontId="3" fillId="2" borderId="20" xfId="1" applyFill="1" applyBorder="1"/>
    <xf numFmtId="3" fontId="1" fillId="0" borderId="2" xfId="4" applyNumberFormat="1" applyFont="1" applyBorder="1" applyAlignment="1">
      <alignment horizontal="center" vertical="center" wrapText="1"/>
    </xf>
    <xf numFmtId="0" fontId="3" fillId="2" borderId="21" xfId="1" applyFill="1" applyBorder="1"/>
    <xf numFmtId="0" fontId="11" fillId="0" borderId="11" xfId="5" applyFont="1" applyBorder="1" applyAlignment="1">
      <alignment vertical="center"/>
    </xf>
    <xf numFmtId="171" fontId="11" fillId="0" borderId="0" xfId="4" applyNumberFormat="1" applyFont="1" applyAlignment="1">
      <alignment vertical="center"/>
    </xf>
    <xf numFmtId="0" fontId="3" fillId="2" borderId="29" xfId="1" applyFill="1" applyBorder="1" applyAlignment="1">
      <alignment horizontal="center"/>
    </xf>
    <xf numFmtId="0" fontId="3" fillId="2" borderId="21" xfId="1" applyFill="1" applyBorder="1" applyAlignment="1">
      <alignment horizontal="center"/>
    </xf>
    <xf numFmtId="0" fontId="11" fillId="0" borderId="11" xfId="1" applyFont="1" applyBorder="1" applyAlignment="1">
      <alignment horizontal="center"/>
    </xf>
    <xf numFmtId="0" fontId="11" fillId="0" borderId="0" xfId="1" applyFont="1" applyAlignment="1">
      <alignment horizontal="center"/>
    </xf>
    <xf numFmtId="0" fontId="3" fillId="0" borderId="0" xfId="1" applyAlignment="1">
      <alignment horizontal="left" vertical="top" wrapText="1"/>
    </xf>
    <xf numFmtId="0" fontId="11" fillId="0" borderId="11" xfId="4" applyFont="1" applyBorder="1" applyAlignment="1">
      <alignment horizontal="center" vertical="center" wrapText="1"/>
    </xf>
    <xf numFmtId="0" fontId="11" fillId="0" borderId="0" xfId="4" applyFont="1" applyAlignment="1">
      <alignment horizontal="center" vertical="center" wrapText="1"/>
    </xf>
    <xf numFmtId="0" fontId="11" fillId="0" borderId="11" xfId="5" applyFont="1" applyBorder="1" applyAlignment="1">
      <alignment horizontal="center" vertical="center"/>
    </xf>
    <xf numFmtId="0" fontId="11" fillId="0" borderId="0" xfId="5" applyFont="1" applyAlignment="1">
      <alignment horizontal="center" vertical="center"/>
    </xf>
    <xf numFmtId="0" fontId="11" fillId="0" borderId="15" xfId="4" applyFont="1" applyBorder="1" applyAlignment="1">
      <alignment horizontal="center" vertical="center" wrapText="1"/>
    </xf>
    <xf numFmtId="0" fontId="1" fillId="0" borderId="0" xfId="1" applyFont="1" applyAlignment="1">
      <alignment horizontal="left" vertical="top" wrapText="1"/>
    </xf>
    <xf numFmtId="0" fontId="3" fillId="2" borderId="20" xfId="1" applyFill="1" applyBorder="1" applyAlignment="1">
      <alignment horizontal="center"/>
    </xf>
    <xf numFmtId="167" fontId="3" fillId="2" borderId="21" xfId="1" applyNumberFormat="1" applyFill="1" applyBorder="1" applyAlignment="1">
      <alignment horizontal="center"/>
    </xf>
    <xf numFmtId="0" fontId="3" fillId="2" borderId="8" xfId="1" applyFill="1" applyBorder="1" applyAlignment="1">
      <alignment horizontal="center"/>
    </xf>
    <xf numFmtId="0" fontId="3" fillId="2" borderId="18" xfId="1" applyFill="1" applyBorder="1" applyAlignment="1">
      <alignment horizontal="center"/>
    </xf>
    <xf numFmtId="0" fontId="3" fillId="2" borderId="11" xfId="1" applyFill="1" applyBorder="1" applyAlignment="1">
      <alignment horizontal="center"/>
    </xf>
    <xf numFmtId="0" fontId="3" fillId="2" borderId="2" xfId="1" applyFill="1" applyBorder="1" applyAlignment="1">
      <alignment horizontal="center"/>
    </xf>
    <xf numFmtId="0" fontId="3" fillId="2" borderId="10" xfId="1" applyFill="1" applyBorder="1" applyAlignment="1">
      <alignment horizontal="center"/>
    </xf>
    <xf numFmtId="0" fontId="3" fillId="2" borderId="6" xfId="1" applyFill="1" applyBorder="1" applyAlignment="1">
      <alignment horizontal="center"/>
    </xf>
    <xf numFmtId="167" fontId="3" fillId="2" borderId="17" xfId="1" applyNumberFormat="1" applyFill="1" applyBorder="1" applyAlignment="1">
      <alignment horizontal="center"/>
    </xf>
    <xf numFmtId="0" fontId="3" fillId="0" borderId="0" xfId="1" applyAlignment="1">
      <alignment horizontal="left" wrapText="1"/>
    </xf>
    <xf numFmtId="0" fontId="2" fillId="0" borderId="0" xfId="1" applyFont="1" applyAlignment="1">
      <alignment horizontal="center"/>
    </xf>
    <xf numFmtId="0" fontId="1" fillId="0" borderId="0" xfId="1" applyFont="1" applyAlignment="1">
      <alignment horizontal="left" wrapText="1"/>
    </xf>
    <xf numFmtId="0" fontId="3" fillId="2" borderId="19" xfId="1" applyFill="1" applyBorder="1" applyAlignment="1">
      <alignment horizontal="center"/>
    </xf>
    <xf numFmtId="0" fontId="3" fillId="2" borderId="5" xfId="1" applyFill="1" applyBorder="1" applyAlignment="1">
      <alignment horizontal="center"/>
    </xf>
    <xf numFmtId="0" fontId="16" fillId="0" borderId="0" xfId="1" applyFont="1" applyAlignment="1">
      <alignment horizontal="center"/>
    </xf>
    <xf numFmtId="0" fontId="1" fillId="0" borderId="14" xfId="1" applyFont="1" applyBorder="1" applyAlignment="1">
      <alignment horizontal="center"/>
    </xf>
    <xf numFmtId="0" fontId="1" fillId="0" borderId="13" xfId="1" applyFont="1" applyBorder="1" applyAlignment="1">
      <alignment horizontal="center"/>
    </xf>
    <xf numFmtId="0" fontId="3" fillId="2" borderId="31" xfId="1" applyFill="1" applyBorder="1" applyAlignment="1">
      <alignment horizontal="center"/>
    </xf>
    <xf numFmtId="0" fontId="3" fillId="2" borderId="30" xfId="1" applyFill="1" applyBorder="1" applyAlignment="1">
      <alignment horizontal="center"/>
    </xf>
    <xf numFmtId="0" fontId="5" fillId="0" borderId="0" xfId="1" applyFont="1" applyAlignment="1">
      <alignment horizontal="left" wrapText="1"/>
    </xf>
    <xf numFmtId="0" fontId="3" fillId="2" borderId="21" xfId="1" applyFill="1" applyBorder="1" applyAlignment="1">
      <alignment horizontal="center" vertical="center"/>
    </xf>
    <xf numFmtId="0" fontId="3" fillId="2" borderId="21" xfId="1" applyFill="1" applyBorder="1" applyAlignment="1">
      <alignment horizontal="center" wrapText="1"/>
    </xf>
    <xf numFmtId="0" fontId="3" fillId="2" borderId="20" xfId="1" applyFill="1" applyBorder="1" applyAlignment="1">
      <alignment horizontal="center" wrapText="1"/>
    </xf>
    <xf numFmtId="0" fontId="3" fillId="2" borderId="17" xfId="1" applyFill="1" applyBorder="1" applyAlignment="1">
      <alignment horizontal="center" wrapText="1"/>
    </xf>
    <xf numFmtId="0" fontId="3" fillId="2" borderId="11" xfId="1" applyFill="1" applyBorder="1" applyAlignment="1">
      <alignment horizontal="left"/>
    </xf>
    <xf numFmtId="0" fontId="3" fillId="2" borderId="0" xfId="1" applyFill="1" applyAlignment="1">
      <alignment horizontal="left"/>
    </xf>
    <xf numFmtId="0" fontId="3" fillId="2" borderId="21" xfId="1" applyFill="1" applyBorder="1" applyAlignment="1">
      <alignment horizontal="left"/>
    </xf>
    <xf numFmtId="0" fontId="3" fillId="2" borderId="20" xfId="1" applyFill="1" applyBorder="1" applyAlignment="1">
      <alignment horizontal="left"/>
    </xf>
    <xf numFmtId="3" fontId="3" fillId="0" borderId="0" xfId="1" applyNumberFormat="1" applyAlignment="1">
      <alignment horizontal="left" vertical="top" wrapText="1"/>
    </xf>
    <xf numFmtId="0" fontId="1" fillId="0" borderId="0" xfId="1" applyFont="1" applyAlignment="1">
      <alignment horizontal="center"/>
    </xf>
    <xf numFmtId="0" fontId="3" fillId="2" borderId="19" xfId="1" applyFill="1" applyBorder="1" applyAlignment="1">
      <alignment horizontal="left"/>
    </xf>
    <xf numFmtId="0" fontId="3" fillId="2" borderId="18" xfId="1" applyFill="1" applyBorder="1" applyAlignment="1">
      <alignment horizontal="left"/>
    </xf>
    <xf numFmtId="0" fontId="3" fillId="2" borderId="5" xfId="1" applyFill="1" applyBorder="1" applyAlignment="1">
      <alignment horizontal="left"/>
    </xf>
    <xf numFmtId="0" fontId="3" fillId="2" borderId="6" xfId="1" applyFill="1" applyBorder="1" applyAlignment="1">
      <alignment horizontal="left"/>
    </xf>
  </cellXfs>
  <cellStyles count="8">
    <cellStyle name="Comma 2" xfId="6" xr:uid="{2831CFB4-E0EA-1749-86E1-FCDD8C3CBF82}"/>
    <cellStyle name="Normal" xfId="0" builtinId="0"/>
    <cellStyle name="Normal 2" xfId="1" xr:uid="{3FF0E4EE-E279-B043-A18C-2633DF906106}"/>
    <cellStyle name="Normal 2 2" xfId="4" xr:uid="{63398DB7-5970-C14E-A3E1-94BDDB7BEEFF}"/>
    <cellStyle name="Normal 2 3" xfId="3" xr:uid="{B96BE92A-A325-AD42-BCC0-938F51138C11}"/>
    <cellStyle name="Normal 2 3 2" xfId="7" xr:uid="{82090696-F70A-124E-86A0-B353D54B616D}"/>
    <cellStyle name="Normal 3" xfId="5" xr:uid="{8390F7F2-E011-1D48-9704-882ABFF0C489}"/>
    <cellStyle name="Percent 2" xfId="2" xr:uid="{3BF909F2-6F15-DD44-94E0-B380D9BF38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226485</xdr:colOff>
      <xdr:row>37</xdr:row>
      <xdr:rowOff>78317</xdr:rowOff>
    </xdr:from>
    <xdr:to>
      <xdr:col>16</xdr:col>
      <xdr:colOff>520700</xdr:colOff>
      <xdr:row>38</xdr:row>
      <xdr:rowOff>155258</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BC73155E-A674-8747-BAC5-9EEBB1FF096C}"/>
                </a:ext>
              </a:extLst>
            </xdr:cNvPr>
            <xdr:cNvSpPr txBox="1"/>
          </xdr:nvSpPr>
          <xdr:spPr>
            <a:xfrm>
              <a:off x="9446685" y="7596717"/>
              <a:ext cx="4421715" cy="28014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noAutofit/>
            </a:bodyPr>
            <a:lstStyle/>
            <a:p>
              <a:pPr/>
              <a14:m>
                <m:oMathPara xmlns:m="http://schemas.openxmlformats.org/officeDocument/2006/math">
                  <m:oMathParaPr>
                    <m:jc m:val="centerGroup"/>
                  </m:oMathParaPr>
                  <m:oMath xmlns:m="http://schemas.openxmlformats.org/officeDocument/2006/math">
                    <m:r>
                      <a:rPr lang="en-US" sz="1200" b="0" i="1">
                        <a:latin typeface="Cambria Math" panose="02040503050406030204" pitchFamily="18" charset="0"/>
                      </a:rPr>
                      <m:t>𝑈𝑙𝑡𝑖𝑚𝑎𝑡𝑒</m:t>
                    </m:r>
                    <m:r>
                      <a:rPr lang="en-US" sz="1200" b="0" i="1">
                        <a:latin typeface="Cambria Math" panose="02040503050406030204" pitchFamily="18" charset="0"/>
                      </a:rPr>
                      <m:t> </m:t>
                    </m:r>
                    <m:r>
                      <a:rPr lang="en-US" sz="1200" b="0" i="1">
                        <a:latin typeface="Cambria Math" panose="02040503050406030204" pitchFamily="18" charset="0"/>
                      </a:rPr>
                      <m:t>𝐶𝑙𝑎𝑖𝑚𝑠</m:t>
                    </m:r>
                    <m:r>
                      <a:rPr lang="en-US" sz="1200" b="0" i="1">
                        <a:latin typeface="Cambria Math" panose="02040503050406030204" pitchFamily="18" charset="0"/>
                      </a:rPr>
                      <m:t>=</m:t>
                    </m:r>
                    <m:r>
                      <a:rPr lang="en-US" sz="1200" b="0" i="1">
                        <a:latin typeface="Cambria Math" panose="02040503050406030204" pitchFamily="18" charset="0"/>
                      </a:rPr>
                      <m:t>𝑈𝑙𝑡𝑖𝑚𝑎𝑡𝑒</m:t>
                    </m:r>
                    <m:r>
                      <a:rPr lang="en-US" sz="1200" b="0" i="1">
                        <a:latin typeface="Cambria Math" panose="02040503050406030204" pitchFamily="18" charset="0"/>
                      </a:rPr>
                      <m:t> </m:t>
                    </m:r>
                    <m:r>
                      <a:rPr lang="en-US" sz="1200" b="0" i="1">
                        <a:latin typeface="Cambria Math" panose="02040503050406030204" pitchFamily="18" charset="0"/>
                      </a:rPr>
                      <m:t>𝑆𝑒𝑣𝑒𝑟𝑖𝑡𝑦</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rPr>
                      <m:t>𝑈𝑙𝑡𝑖𝑚𝑎𝑡𝑒</m:t>
                    </m:r>
                    <m:r>
                      <a:rPr lang="en-US" sz="1200" b="0" i="1">
                        <a:latin typeface="Cambria Math" panose="02040503050406030204" pitchFamily="18" charset="0"/>
                      </a:rPr>
                      <m:t> </m:t>
                    </m:r>
                    <m:r>
                      <a:rPr lang="en-US" sz="1200" b="0" i="1">
                        <a:latin typeface="Cambria Math" panose="02040503050406030204" pitchFamily="18" charset="0"/>
                      </a:rPr>
                      <m:t>𝐶𝑙𝑎𝑖𝑚</m:t>
                    </m:r>
                    <m:r>
                      <a:rPr lang="en-US" sz="1200" b="0" i="1">
                        <a:latin typeface="Cambria Math" panose="02040503050406030204" pitchFamily="18" charset="0"/>
                      </a:rPr>
                      <m:t> </m:t>
                    </m:r>
                    <m:r>
                      <a:rPr lang="en-US" sz="1200" b="0" i="1">
                        <a:latin typeface="Cambria Math" panose="02040503050406030204" pitchFamily="18" charset="0"/>
                      </a:rPr>
                      <m:t>𝐶𝑜𝑢𝑛𝑡𝑠</m:t>
                    </m:r>
                  </m:oMath>
                </m:oMathPara>
              </a14:m>
              <a:endParaRPr lang="en-US" sz="1200"/>
            </a:p>
          </xdr:txBody>
        </xdr:sp>
      </mc:Choice>
      <mc:Fallback xmlns="">
        <xdr:sp macro="" textlink="">
          <xdr:nvSpPr>
            <xdr:cNvPr id="2" name="TextBox 1">
              <a:extLst>
                <a:ext uri="{FF2B5EF4-FFF2-40B4-BE49-F238E27FC236}">
                  <a16:creationId xmlns:a16="http://schemas.microsoft.com/office/drawing/2014/main" id="{BC73155E-A674-8747-BAC5-9EEBB1FF096C}"/>
                </a:ext>
              </a:extLst>
            </xdr:cNvPr>
            <xdr:cNvSpPr txBox="1"/>
          </xdr:nvSpPr>
          <xdr:spPr>
            <a:xfrm>
              <a:off x="9446685" y="7596717"/>
              <a:ext cx="4421715" cy="28014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45720" tIns="45720" rIns="45720" bIns="45720" rtlCol="0" anchor="t">
              <a:noAutofit/>
            </a:bodyPr>
            <a:lstStyle/>
            <a:p>
              <a:pPr/>
              <a:r>
                <a:rPr lang="en-US" sz="1200" b="0" i="0">
                  <a:latin typeface="Cambria Math" panose="02040503050406030204" pitchFamily="18" charset="0"/>
                </a:rPr>
                <a:t>𝑈𝑙𝑡𝑖𝑚𝑎𝑡𝑒 𝐶𝑙𝑎𝑖𝑚𝑠=𝑈𝑙𝑡𝑖𝑚𝑎𝑡𝑒 𝑆𝑒𝑣𝑒𝑟𝑖𝑡𝑦</a:t>
              </a:r>
              <a:r>
                <a:rPr lang="en-US"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𝑈𝑙𝑡𝑖𝑚𝑎𝑡𝑒 𝐶𝑙𝑎𝑖𝑚 𝐶𝑜𝑢𝑛𝑡𝑠</a:t>
              </a:r>
              <a:endParaRPr lang="en-US" sz="1200"/>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720E5-3D81-BB4C-AE6B-68601009D157}">
  <dimension ref="A1:T65"/>
  <sheetViews>
    <sheetView tabSelected="1" workbookViewId="0">
      <selection activeCell="B1" sqref="B1"/>
    </sheetView>
  </sheetViews>
  <sheetFormatPr baseColWidth="10" defaultColWidth="11" defaultRowHeight="16" outlineLevelCol="1" x14ac:dyDescent="0.2"/>
  <cols>
    <col min="1" max="1" width="4" style="2" customWidth="1"/>
    <col min="2" max="2" width="11.5" style="1" customWidth="1"/>
    <col min="3" max="12" width="11" style="1"/>
    <col min="13" max="19" width="10.83203125" style="1" hidden="1" customWidth="1" outlineLevel="1"/>
    <col min="20" max="20" width="10.83203125" style="1" customWidth="1" collapsed="1"/>
    <col min="21" max="22" width="10.83203125" style="1" customWidth="1"/>
    <col min="23" max="16384" width="11" style="1"/>
  </cols>
  <sheetData>
    <row r="1" spans="1:19" x14ac:dyDescent="0.2">
      <c r="A1" s="71"/>
      <c r="B1" s="70" t="s">
        <v>70</v>
      </c>
      <c r="C1" s="69" t="s">
        <v>344</v>
      </c>
      <c r="D1" s="69" t="s">
        <v>68</v>
      </c>
      <c r="E1" s="69" t="s">
        <v>343</v>
      </c>
      <c r="F1" s="68"/>
      <c r="G1" s="68"/>
      <c r="H1" s="68"/>
      <c r="I1" s="68"/>
      <c r="J1" s="68"/>
      <c r="K1" s="67"/>
      <c r="L1" s="64" t="s">
        <v>66</v>
      </c>
    </row>
    <row r="2" spans="1:19" x14ac:dyDescent="0.2">
      <c r="A2" s="38"/>
      <c r="B2" s="66" t="s">
        <v>65</v>
      </c>
      <c r="C2" s="65">
        <v>2.5</v>
      </c>
      <c r="D2" s="37"/>
      <c r="E2" s="37"/>
      <c r="F2" s="37"/>
      <c r="G2" s="37"/>
      <c r="H2" s="37"/>
      <c r="I2" s="37"/>
      <c r="J2" s="37"/>
      <c r="K2" s="36"/>
    </row>
    <row r="3" spans="1:19" x14ac:dyDescent="0.2">
      <c r="A3" s="38"/>
      <c r="B3" s="37"/>
      <c r="C3" s="37"/>
      <c r="D3" s="37"/>
      <c r="E3" s="37"/>
      <c r="F3" s="37"/>
      <c r="G3" s="37"/>
      <c r="H3" s="37"/>
      <c r="I3" s="37"/>
      <c r="J3" s="37"/>
      <c r="K3" s="36"/>
      <c r="M3" s="64" t="s">
        <v>64</v>
      </c>
    </row>
    <row r="4" spans="1:19" x14ac:dyDescent="0.2">
      <c r="A4" s="38"/>
      <c r="B4" s="37"/>
      <c r="C4" s="37" t="s">
        <v>342</v>
      </c>
      <c r="D4" s="37"/>
      <c r="E4" s="37"/>
      <c r="F4" s="37"/>
      <c r="G4" s="37"/>
      <c r="H4" s="37"/>
      <c r="I4" s="37"/>
      <c r="J4" s="37"/>
      <c r="K4" s="36"/>
      <c r="M4" s="5"/>
      <c r="N4" s="5"/>
      <c r="O4" s="5"/>
      <c r="P4" s="5"/>
      <c r="Q4" s="5"/>
      <c r="R4" s="5"/>
      <c r="S4" s="5"/>
    </row>
    <row r="5" spans="1:19" ht="17" x14ac:dyDescent="0.2">
      <c r="A5" s="38"/>
      <c r="B5" s="37"/>
      <c r="C5" s="37"/>
      <c r="D5" s="37"/>
      <c r="E5" s="37"/>
      <c r="F5" s="37"/>
      <c r="G5" s="37"/>
      <c r="H5" s="37"/>
      <c r="I5" s="37"/>
      <c r="J5" s="37"/>
      <c r="K5" s="36"/>
      <c r="M5" s="82" t="s">
        <v>21</v>
      </c>
      <c r="N5" s="185" t="s">
        <v>88</v>
      </c>
      <c r="O5" s="186"/>
      <c r="P5" s="186"/>
      <c r="Q5" s="114"/>
      <c r="R5" s="5"/>
      <c r="S5" s="5"/>
    </row>
    <row r="6" spans="1:19" ht="17" x14ac:dyDescent="0.2">
      <c r="A6" s="38"/>
      <c r="B6" s="37"/>
      <c r="C6" s="62" t="s">
        <v>21</v>
      </c>
      <c r="D6" s="183" t="s">
        <v>341</v>
      </c>
      <c r="E6" s="184"/>
      <c r="F6" s="184"/>
      <c r="G6" s="37"/>
      <c r="H6" s="37"/>
      <c r="I6" s="37"/>
      <c r="J6" s="37"/>
      <c r="K6" s="36"/>
      <c r="M6" s="80" t="s">
        <v>17</v>
      </c>
      <c r="N6" s="78">
        <v>12</v>
      </c>
      <c r="O6" s="78">
        <v>24</v>
      </c>
      <c r="P6" s="78">
        <v>36</v>
      </c>
      <c r="Q6" s="97"/>
      <c r="R6" s="5"/>
      <c r="S6" s="5"/>
    </row>
    <row r="7" spans="1:19" x14ac:dyDescent="0.2">
      <c r="A7" s="38"/>
      <c r="B7" s="37"/>
      <c r="C7" s="42" t="s">
        <v>17</v>
      </c>
      <c r="D7" s="138" t="s">
        <v>339</v>
      </c>
      <c r="E7" s="51" t="s">
        <v>338</v>
      </c>
      <c r="F7" s="51" t="s">
        <v>337</v>
      </c>
      <c r="G7" s="37"/>
      <c r="H7" s="37"/>
      <c r="I7" s="37"/>
      <c r="J7" s="37"/>
      <c r="K7" s="36"/>
      <c r="M7" s="76">
        <f>C8</f>
        <v>2012</v>
      </c>
      <c r="N7" s="97">
        <f>D8/$D21</f>
        <v>0.8902439024390244</v>
      </c>
      <c r="O7" s="97">
        <f>E8/$D21</f>
        <v>0.97560975609756095</v>
      </c>
      <c r="P7" s="97">
        <f>F8/$D21</f>
        <v>1</v>
      </c>
      <c r="Q7" s="97"/>
      <c r="R7" s="5"/>
      <c r="S7" s="5"/>
    </row>
    <row r="8" spans="1:19" x14ac:dyDescent="0.2">
      <c r="A8" s="38"/>
      <c r="B8" s="37"/>
      <c r="C8" s="42">
        <v>2012</v>
      </c>
      <c r="D8" s="51">
        <v>730</v>
      </c>
      <c r="E8" s="51">
        <v>800</v>
      </c>
      <c r="F8" s="51">
        <v>820</v>
      </c>
      <c r="G8" s="37"/>
      <c r="H8" s="37"/>
      <c r="I8" s="37"/>
      <c r="J8" s="37"/>
      <c r="K8" s="36"/>
      <c r="M8" s="76">
        <f>C9</f>
        <v>2013</v>
      </c>
      <c r="N8" s="97">
        <f>D9/$D22</f>
        <v>0.88652482269503541</v>
      </c>
      <c r="O8" s="97">
        <f>E9/$D22</f>
        <v>0.97517730496453903</v>
      </c>
      <c r="P8" s="97"/>
      <c r="Q8" s="97"/>
      <c r="R8" s="5"/>
      <c r="S8" s="5"/>
    </row>
    <row r="9" spans="1:19" x14ac:dyDescent="0.2">
      <c r="A9" s="38"/>
      <c r="B9" s="37"/>
      <c r="C9" s="51">
        <v>2013</v>
      </c>
      <c r="D9" s="51">
        <v>750</v>
      </c>
      <c r="E9" s="51">
        <v>825</v>
      </c>
      <c r="F9" s="180"/>
      <c r="G9" s="37"/>
      <c r="H9" s="37"/>
      <c r="I9" s="37"/>
      <c r="J9" s="37"/>
      <c r="K9" s="36"/>
      <c r="M9" s="76">
        <f>C10</f>
        <v>2014</v>
      </c>
      <c r="N9" s="97">
        <f>D10/$D23</f>
        <v>0.88672768878718533</v>
      </c>
      <c r="O9" s="97"/>
      <c r="P9" s="97"/>
      <c r="Q9" s="97"/>
      <c r="R9" s="5"/>
      <c r="S9" s="5"/>
    </row>
    <row r="10" spans="1:19" x14ac:dyDescent="0.2">
      <c r="A10" s="38"/>
      <c r="B10" s="37"/>
      <c r="C10" s="51">
        <v>2014</v>
      </c>
      <c r="D10" s="51">
        <v>775</v>
      </c>
      <c r="E10" s="180"/>
      <c r="F10" s="180"/>
      <c r="G10" s="37"/>
      <c r="H10" s="37"/>
      <c r="I10" s="37"/>
      <c r="J10" s="37"/>
      <c r="K10" s="36"/>
      <c r="M10" s="5"/>
      <c r="N10" s="5"/>
      <c r="O10" s="5"/>
      <c r="P10" s="5"/>
      <c r="Q10" s="5"/>
      <c r="R10" s="5"/>
      <c r="S10" s="5"/>
    </row>
    <row r="11" spans="1:19" x14ac:dyDescent="0.2">
      <c r="A11" s="38"/>
      <c r="B11" s="37"/>
      <c r="C11" s="37"/>
      <c r="D11" s="37"/>
      <c r="E11" s="37"/>
      <c r="F11" s="37"/>
      <c r="G11" s="37"/>
      <c r="H11" s="37"/>
      <c r="I11" s="37"/>
      <c r="J11" s="37"/>
      <c r="K11" s="36"/>
      <c r="M11" s="80"/>
      <c r="N11" s="78">
        <v>12</v>
      </c>
      <c r="O11" s="78">
        <v>24</v>
      </c>
      <c r="P11" s="78">
        <v>36</v>
      </c>
      <c r="Q11" s="182"/>
      <c r="R11" s="26"/>
      <c r="S11" s="5"/>
    </row>
    <row r="12" spans="1:19" ht="17" x14ac:dyDescent="0.2">
      <c r="A12" s="38"/>
      <c r="B12" s="37"/>
      <c r="C12" s="62" t="s">
        <v>21</v>
      </c>
      <c r="D12" s="183" t="s">
        <v>340</v>
      </c>
      <c r="E12" s="184"/>
      <c r="F12" s="184"/>
      <c r="G12" s="37"/>
      <c r="H12" s="37"/>
      <c r="I12" s="37"/>
      <c r="J12" s="37"/>
      <c r="K12" s="36"/>
      <c r="M12" s="82" t="s">
        <v>77</v>
      </c>
      <c r="N12" s="97">
        <f>AVERAGE(N7:N9)</f>
        <v>0.88783213797374838</v>
      </c>
      <c r="O12" s="97">
        <f>AVERAGE(O7:O9)</f>
        <v>0.97539353053104993</v>
      </c>
      <c r="P12" s="97">
        <f>AVERAGE(P7:P9)</f>
        <v>1</v>
      </c>
      <c r="Q12" s="182"/>
      <c r="R12" s="26"/>
      <c r="S12" s="5"/>
    </row>
    <row r="13" spans="1:19" x14ac:dyDescent="0.2">
      <c r="A13" s="38"/>
      <c r="B13" s="40"/>
      <c r="C13" s="42" t="s">
        <v>17</v>
      </c>
      <c r="D13" s="138" t="s">
        <v>339</v>
      </c>
      <c r="E13" s="51" t="s">
        <v>338</v>
      </c>
      <c r="F13" s="51" t="s">
        <v>337</v>
      </c>
      <c r="G13" s="37"/>
      <c r="H13" s="37"/>
      <c r="I13" s="37"/>
      <c r="J13" s="37"/>
      <c r="K13" s="36"/>
      <c r="M13" s="5"/>
      <c r="N13" s="5"/>
      <c r="O13" s="5"/>
      <c r="P13" s="5"/>
      <c r="Q13" s="5"/>
      <c r="R13" s="5"/>
      <c r="S13" s="5"/>
    </row>
    <row r="14" spans="1:19" x14ac:dyDescent="0.2">
      <c r="A14" s="38"/>
      <c r="B14" s="40"/>
      <c r="C14" s="42">
        <v>2012</v>
      </c>
      <c r="D14" s="50">
        <v>2250</v>
      </c>
      <c r="E14" s="50">
        <v>2600</v>
      </c>
      <c r="F14" s="50">
        <v>2700</v>
      </c>
      <c r="G14" s="37"/>
      <c r="H14" s="37"/>
      <c r="I14" s="37"/>
      <c r="J14" s="37"/>
      <c r="K14" s="36"/>
      <c r="M14" s="5"/>
      <c r="N14" s="5"/>
      <c r="O14" s="5"/>
      <c r="P14" s="5"/>
      <c r="Q14" s="5"/>
      <c r="R14" s="5"/>
      <c r="S14" s="5"/>
    </row>
    <row r="15" spans="1:19" ht="17" x14ac:dyDescent="0.2">
      <c r="A15" s="38"/>
      <c r="B15" s="40"/>
      <c r="C15" s="51">
        <v>2013</v>
      </c>
      <c r="D15" s="50">
        <v>2600</v>
      </c>
      <c r="E15" s="50">
        <v>3000</v>
      </c>
      <c r="F15" s="180"/>
      <c r="G15" s="37"/>
      <c r="H15" s="37"/>
      <c r="I15" s="37"/>
      <c r="J15" s="37"/>
      <c r="K15" s="36"/>
      <c r="M15" s="82" t="s">
        <v>21</v>
      </c>
      <c r="N15" s="181" t="s">
        <v>84</v>
      </c>
      <c r="O15" s="96"/>
      <c r="P15" s="96"/>
      <c r="Q15" s="96"/>
      <c r="R15" s="96"/>
      <c r="S15" s="5"/>
    </row>
    <row r="16" spans="1:19" ht="17" x14ac:dyDescent="0.2">
      <c r="A16" s="38"/>
      <c r="B16" s="40"/>
      <c r="C16" s="51">
        <v>2014</v>
      </c>
      <c r="D16" s="51">
        <v>2000</v>
      </c>
      <c r="E16" s="180"/>
      <c r="F16" s="180"/>
      <c r="G16" s="37"/>
      <c r="H16" s="37"/>
      <c r="I16" s="37"/>
      <c r="J16" s="37"/>
      <c r="K16" s="36"/>
      <c r="M16" s="80" t="s">
        <v>17</v>
      </c>
      <c r="N16" s="78">
        <v>12</v>
      </c>
      <c r="O16" s="78">
        <v>24</v>
      </c>
      <c r="P16" s="80">
        <v>36</v>
      </c>
      <c r="Q16" s="78" t="s">
        <v>18</v>
      </c>
      <c r="R16" s="5"/>
      <c r="S16" s="5"/>
    </row>
    <row r="17" spans="1:19" x14ac:dyDescent="0.2">
      <c r="A17" s="38"/>
      <c r="B17" s="40"/>
      <c r="C17" s="37"/>
      <c r="D17" s="37"/>
      <c r="E17" s="37"/>
      <c r="F17" s="37"/>
      <c r="G17" s="37"/>
      <c r="H17" s="37"/>
      <c r="I17" s="37"/>
      <c r="J17" s="37"/>
      <c r="K17" s="36"/>
      <c r="M17" s="76">
        <f>M7</f>
        <v>2012</v>
      </c>
      <c r="N17" s="84">
        <f>D8</f>
        <v>730</v>
      </c>
      <c r="O17" s="84">
        <f>E8-D8</f>
        <v>70</v>
      </c>
      <c r="P17" s="179">
        <f>F8-E8</f>
        <v>20</v>
      </c>
      <c r="Q17" s="175">
        <f>SUM(N17:P17)</f>
        <v>820</v>
      </c>
      <c r="S17" s="5"/>
    </row>
    <row r="18" spans="1:19" x14ac:dyDescent="0.2">
      <c r="A18" s="38"/>
      <c r="B18" s="40"/>
      <c r="C18" s="178"/>
      <c r="D18" s="62" t="s">
        <v>18</v>
      </c>
      <c r="E18" s="37"/>
      <c r="F18" s="37"/>
      <c r="G18" s="37"/>
      <c r="H18" s="37"/>
      <c r="I18" s="37"/>
      <c r="J18" s="37"/>
      <c r="K18" s="36"/>
      <c r="M18" s="76">
        <f>M8</f>
        <v>2013</v>
      </c>
      <c r="N18" s="84">
        <f>D9</f>
        <v>750</v>
      </c>
      <c r="O18" s="84">
        <f>E9-D9</f>
        <v>75</v>
      </c>
      <c r="P18" s="177">
        <f>($D22-$E$9)/(1-O$12)*(P$12-O$12)</f>
        <v>21</v>
      </c>
      <c r="Q18" s="94">
        <f>SUM(N18:P18)</f>
        <v>846</v>
      </c>
      <c r="R18" s="5"/>
      <c r="S18" s="5"/>
    </row>
    <row r="19" spans="1:19" x14ac:dyDescent="0.2">
      <c r="A19" s="38"/>
      <c r="B19" s="40"/>
      <c r="C19" s="58" t="s">
        <v>21</v>
      </c>
      <c r="D19" s="58" t="s">
        <v>54</v>
      </c>
      <c r="E19" s="37"/>
      <c r="F19" s="37"/>
      <c r="G19" s="37"/>
      <c r="H19" s="37"/>
      <c r="I19" s="37"/>
      <c r="J19" s="37"/>
      <c r="K19" s="36"/>
      <c r="M19" s="76">
        <f>M9</f>
        <v>2014</v>
      </c>
      <c r="N19" s="84">
        <f>D10</f>
        <v>775</v>
      </c>
      <c r="O19" s="94">
        <f>($D23-$D$10)/(1-$N$12)*(O$12-N$12)</f>
        <v>77.282188557218561</v>
      </c>
      <c r="P19" s="177">
        <f>($D23-$D$10)/(1-$N$12)*(P$12-O$12)</f>
        <v>21.717811442781432</v>
      </c>
      <c r="Q19" s="94">
        <f>SUM(N19:P19)</f>
        <v>874</v>
      </c>
      <c r="R19" s="5" t="s">
        <v>336</v>
      </c>
      <c r="S19" s="5"/>
    </row>
    <row r="20" spans="1:19" x14ac:dyDescent="0.2">
      <c r="A20" s="38"/>
      <c r="B20" s="40"/>
      <c r="C20" s="42" t="s">
        <v>17</v>
      </c>
      <c r="D20" s="42" t="s">
        <v>53</v>
      </c>
      <c r="E20" s="37"/>
      <c r="F20" s="37"/>
      <c r="G20" s="37"/>
      <c r="H20" s="37"/>
      <c r="I20" s="37"/>
      <c r="J20" s="37"/>
      <c r="K20" s="36"/>
      <c r="M20" s="5"/>
      <c r="N20" s="5"/>
      <c r="O20" s="5"/>
      <c r="P20" s="5"/>
      <c r="Q20" s="5"/>
      <c r="R20" s="5"/>
      <c r="S20" s="5"/>
    </row>
    <row r="21" spans="1:19" ht="17" customHeight="1" x14ac:dyDescent="0.2">
      <c r="A21" s="38"/>
      <c r="B21" s="40"/>
      <c r="C21" s="51">
        <v>2012</v>
      </c>
      <c r="D21" s="51">
        <v>820</v>
      </c>
      <c r="E21" s="37"/>
      <c r="F21" s="37"/>
      <c r="G21" s="37"/>
      <c r="H21" s="37"/>
      <c r="I21" s="37"/>
      <c r="J21" s="37"/>
      <c r="K21" s="36"/>
      <c r="M21" s="82" t="s">
        <v>21</v>
      </c>
      <c r="N21" s="188" t="s">
        <v>151</v>
      </c>
      <c r="O21" s="189"/>
      <c r="P21" s="189"/>
      <c r="Q21" s="176"/>
      <c r="R21" s="5"/>
      <c r="S21" s="5"/>
    </row>
    <row r="22" spans="1:19" ht="17" x14ac:dyDescent="0.2">
      <c r="A22" s="38"/>
      <c r="B22" s="40"/>
      <c r="C22" s="51">
        <v>2013</v>
      </c>
      <c r="D22" s="51">
        <v>846</v>
      </c>
      <c r="E22" s="37"/>
      <c r="F22" s="37"/>
      <c r="G22" s="37"/>
      <c r="H22" s="37"/>
      <c r="I22" s="37"/>
      <c r="J22" s="37"/>
      <c r="K22" s="36"/>
      <c r="M22" s="80" t="s">
        <v>17</v>
      </c>
      <c r="N22" s="78">
        <v>12</v>
      </c>
      <c r="O22" s="78">
        <v>24</v>
      </c>
      <c r="P22" s="78">
        <v>36</v>
      </c>
      <c r="Q22" s="85"/>
      <c r="R22" s="5"/>
      <c r="S22" s="5"/>
    </row>
    <row r="23" spans="1:19" x14ac:dyDescent="0.2">
      <c r="A23" s="38"/>
      <c r="B23" s="37"/>
      <c r="C23" s="51">
        <v>2014</v>
      </c>
      <c r="D23" s="51">
        <v>874</v>
      </c>
      <c r="E23" s="37"/>
      <c r="F23" s="37"/>
      <c r="G23" s="37"/>
      <c r="H23" s="37"/>
      <c r="I23" s="37"/>
      <c r="J23" s="37"/>
      <c r="K23" s="36"/>
      <c r="M23" s="76">
        <f>M7</f>
        <v>2012</v>
      </c>
      <c r="N23" s="85">
        <f>D14*1000/N17</f>
        <v>3082.1917808219177</v>
      </c>
      <c r="O23" s="85">
        <f>(E14-D14)*1000/O17</f>
        <v>5000</v>
      </c>
      <c r="P23" s="85">
        <f>(F14-E14)*1000/P17</f>
        <v>5000</v>
      </c>
      <c r="Q23" s="85"/>
      <c r="R23" s="5"/>
      <c r="S23" s="5"/>
    </row>
    <row r="24" spans="1:19" x14ac:dyDescent="0.2">
      <c r="A24" s="38"/>
      <c r="B24" s="37"/>
      <c r="C24" s="40"/>
      <c r="D24" s="40"/>
      <c r="E24" s="37"/>
      <c r="F24" s="37"/>
      <c r="G24" s="37"/>
      <c r="H24" s="37"/>
      <c r="I24" s="37"/>
      <c r="J24" s="37"/>
      <c r="K24" s="36"/>
      <c r="M24" s="76">
        <f>M8</f>
        <v>2013</v>
      </c>
      <c r="N24" s="85">
        <f>D15*1000/D9</f>
        <v>3466.6666666666665</v>
      </c>
      <c r="O24" s="85">
        <f>(E15-D15)*1000/O18</f>
        <v>5333.333333333333</v>
      </c>
      <c r="P24" s="85"/>
      <c r="Q24" s="85"/>
      <c r="R24" s="5"/>
      <c r="S24" s="5"/>
    </row>
    <row r="25" spans="1:19" x14ac:dyDescent="0.2">
      <c r="A25" s="38"/>
      <c r="B25" s="37"/>
      <c r="C25" s="39" t="s">
        <v>335</v>
      </c>
      <c r="D25" s="40"/>
      <c r="E25" s="37"/>
      <c r="F25" s="37"/>
      <c r="G25" s="37"/>
      <c r="H25" s="37"/>
      <c r="I25" s="37"/>
      <c r="J25" s="37"/>
      <c r="K25" s="36"/>
      <c r="M25" s="76">
        <f>M9</f>
        <v>2014</v>
      </c>
      <c r="N25" s="85">
        <f>D16*1000/D10</f>
        <v>2580.6451612903224</v>
      </c>
      <c r="O25" s="85"/>
      <c r="P25" s="85"/>
      <c r="Q25" s="85"/>
      <c r="R25" s="5"/>
      <c r="S25" s="5"/>
    </row>
    <row r="26" spans="1:19" x14ac:dyDescent="0.2">
      <c r="A26" s="38"/>
      <c r="B26" s="37"/>
      <c r="C26" s="39" t="s">
        <v>334</v>
      </c>
      <c r="D26" s="40"/>
      <c r="E26" s="37"/>
      <c r="F26" s="37"/>
      <c r="G26" s="37"/>
      <c r="H26" s="37"/>
      <c r="I26" s="37"/>
      <c r="J26" s="37"/>
      <c r="K26" s="36"/>
      <c r="M26" s="5"/>
      <c r="N26" s="5"/>
      <c r="O26" s="5"/>
      <c r="P26" s="5"/>
      <c r="Q26" s="5"/>
      <c r="R26" s="5"/>
      <c r="S26" s="5"/>
    </row>
    <row r="27" spans="1:19" ht="17" x14ac:dyDescent="0.2">
      <c r="A27" s="38"/>
      <c r="B27" s="37"/>
      <c r="C27" s="39" t="s">
        <v>333</v>
      </c>
      <c r="D27" s="40"/>
      <c r="E27" s="136">
        <v>0.04</v>
      </c>
      <c r="F27" s="37"/>
      <c r="G27" s="37"/>
      <c r="H27" s="37"/>
      <c r="I27" s="37"/>
      <c r="J27" s="37"/>
      <c r="K27" s="36"/>
      <c r="M27" s="82" t="s">
        <v>21</v>
      </c>
      <c r="N27" s="190" t="s">
        <v>332</v>
      </c>
      <c r="O27" s="191"/>
      <c r="P27" s="191"/>
      <c r="Q27" s="96"/>
      <c r="R27" s="5"/>
      <c r="S27" s="5"/>
    </row>
    <row r="28" spans="1:19" ht="17" x14ac:dyDescent="0.2">
      <c r="A28" s="38"/>
      <c r="B28" s="37"/>
      <c r="C28" s="91"/>
      <c r="D28" s="37"/>
      <c r="E28" s="37"/>
      <c r="F28" s="37"/>
      <c r="G28" s="37"/>
      <c r="H28" s="37"/>
      <c r="I28" s="37"/>
      <c r="J28" s="37"/>
      <c r="K28" s="36"/>
      <c r="M28" s="80" t="s">
        <v>17</v>
      </c>
      <c r="N28" s="78">
        <v>12</v>
      </c>
      <c r="O28" s="78">
        <v>24</v>
      </c>
      <c r="P28" s="78">
        <v>36</v>
      </c>
      <c r="Q28" s="96"/>
      <c r="R28" s="5"/>
      <c r="S28" s="5"/>
    </row>
    <row r="29" spans="1:19" x14ac:dyDescent="0.2">
      <c r="A29" s="38" t="s">
        <v>40</v>
      </c>
      <c r="B29" s="37" t="s">
        <v>331</v>
      </c>
      <c r="C29" s="91" t="s">
        <v>330</v>
      </c>
      <c r="D29" s="37"/>
      <c r="E29" s="37"/>
      <c r="F29" s="37"/>
      <c r="G29" s="37"/>
      <c r="H29" s="37"/>
      <c r="I29" s="37"/>
      <c r="J29" s="37"/>
      <c r="K29" s="36"/>
      <c r="M29" s="76">
        <f>M7</f>
        <v>2012</v>
      </c>
      <c r="N29" s="85"/>
      <c r="O29" s="85"/>
      <c r="P29" s="85">
        <f>P23*(1+$E$27)^(2014-$M29)</f>
        <v>5408.0000000000009</v>
      </c>
      <c r="Q29" s="96"/>
      <c r="R29" s="5"/>
      <c r="S29" s="5"/>
    </row>
    <row r="30" spans="1:19" x14ac:dyDescent="0.2">
      <c r="A30" s="38"/>
      <c r="B30" s="37"/>
      <c r="C30" s="91"/>
      <c r="D30" s="37"/>
      <c r="E30" s="37"/>
      <c r="F30" s="37"/>
      <c r="G30" s="37"/>
      <c r="H30" s="37"/>
      <c r="I30" s="37"/>
      <c r="J30" s="37"/>
      <c r="K30" s="36"/>
      <c r="M30" s="76">
        <f>M8</f>
        <v>2013</v>
      </c>
      <c r="N30" s="85"/>
      <c r="O30" s="85">
        <f>O24*(1+$E$27)^(2014-$M30)</f>
        <v>5546.666666666667</v>
      </c>
      <c r="P30" s="85"/>
      <c r="Q30" s="96"/>
      <c r="R30" s="5"/>
      <c r="S30" s="5"/>
    </row>
    <row r="31" spans="1:19" x14ac:dyDescent="0.2">
      <c r="A31" s="38" t="s">
        <v>36</v>
      </c>
      <c r="B31" s="37" t="s">
        <v>35</v>
      </c>
      <c r="C31" s="91" t="s">
        <v>329</v>
      </c>
      <c r="D31" s="37"/>
      <c r="E31" s="37"/>
      <c r="F31" s="37"/>
      <c r="G31" s="37"/>
      <c r="H31" s="37"/>
      <c r="I31" s="37"/>
      <c r="J31" s="37"/>
      <c r="K31" s="36"/>
      <c r="M31" s="76">
        <f>M9</f>
        <v>2014</v>
      </c>
      <c r="N31" s="85">
        <f>N25*(1+$E$27)^(2014-$M31)</f>
        <v>2580.6451612903224</v>
      </c>
      <c r="O31" s="85"/>
      <c r="P31" s="85"/>
      <c r="Q31" s="85"/>
      <c r="R31" s="5"/>
      <c r="S31" s="5"/>
    </row>
    <row r="32" spans="1:19" x14ac:dyDescent="0.2">
      <c r="A32" s="38"/>
      <c r="B32" s="37"/>
      <c r="C32" s="91" t="s">
        <v>328</v>
      </c>
      <c r="D32" s="37"/>
      <c r="E32" s="37"/>
      <c r="F32" s="37"/>
      <c r="G32" s="37"/>
      <c r="H32" s="37"/>
      <c r="I32" s="37"/>
      <c r="J32" s="37"/>
      <c r="K32" s="36"/>
      <c r="M32" s="5"/>
      <c r="N32" s="5"/>
      <c r="O32" s="5"/>
      <c r="P32" s="5"/>
      <c r="Q32" s="5"/>
      <c r="R32" s="5"/>
      <c r="S32" s="5"/>
    </row>
    <row r="33" spans="1:18" x14ac:dyDescent="0.2">
      <c r="A33" s="38"/>
      <c r="B33" s="37"/>
      <c r="C33" s="37" t="s">
        <v>327</v>
      </c>
      <c r="D33" s="37"/>
      <c r="E33" s="37"/>
      <c r="F33" s="37"/>
      <c r="G33" s="37"/>
      <c r="H33" s="37"/>
      <c r="I33" s="37"/>
      <c r="J33" s="37"/>
      <c r="K33" s="36"/>
      <c r="M33" s="80"/>
      <c r="N33" s="78">
        <v>12</v>
      </c>
      <c r="O33" s="78">
        <v>24</v>
      </c>
      <c r="P33" s="78">
        <v>36</v>
      </c>
      <c r="Q33" s="5"/>
      <c r="R33" s="5"/>
    </row>
    <row r="34" spans="1:18" ht="18" thickBot="1" x14ac:dyDescent="0.25">
      <c r="A34" s="119"/>
      <c r="B34" s="88"/>
      <c r="C34" s="89"/>
      <c r="D34" s="88"/>
      <c r="E34" s="88"/>
      <c r="F34" s="88"/>
      <c r="G34" s="88"/>
      <c r="H34" s="88"/>
      <c r="I34" s="88"/>
      <c r="J34" s="88"/>
      <c r="K34" s="87"/>
      <c r="M34" s="82" t="s">
        <v>77</v>
      </c>
      <c r="N34" s="84">
        <f>N31</f>
        <v>2580.6451612903224</v>
      </c>
      <c r="O34" s="84">
        <f>O30</f>
        <v>5546.666666666667</v>
      </c>
      <c r="P34" s="84">
        <f>P29</f>
        <v>5408.0000000000009</v>
      </c>
      <c r="Q34" s="5"/>
      <c r="R34" s="5"/>
    </row>
    <row r="35" spans="1:18" ht="17" thickBot="1" x14ac:dyDescent="0.25">
      <c r="A35" s="35" t="s">
        <v>32</v>
      </c>
      <c r="B35" s="33"/>
      <c r="C35" s="34"/>
      <c r="D35" s="33"/>
      <c r="E35" s="33"/>
      <c r="F35" s="33"/>
      <c r="G35" s="33"/>
      <c r="H35" s="33"/>
      <c r="I35" s="33"/>
      <c r="J35" s="33"/>
      <c r="K35" s="32"/>
      <c r="M35" s="5"/>
      <c r="N35" s="5"/>
      <c r="O35" s="5"/>
      <c r="P35" s="5"/>
      <c r="Q35" s="5"/>
      <c r="R35" s="5"/>
    </row>
    <row r="36" spans="1:18" ht="17" customHeight="1" x14ac:dyDescent="0.2">
      <c r="M36" s="7" t="s">
        <v>326</v>
      </c>
      <c r="N36" s="5"/>
      <c r="O36" s="5"/>
      <c r="P36" s="5"/>
      <c r="Q36" s="5"/>
      <c r="R36" s="5"/>
    </row>
    <row r="37" spans="1:18" x14ac:dyDescent="0.2">
      <c r="M37" s="5"/>
      <c r="N37" s="5"/>
      <c r="O37" s="5"/>
      <c r="P37" s="5"/>
      <c r="Q37" s="5"/>
      <c r="R37" s="5"/>
    </row>
    <row r="38" spans="1:18" x14ac:dyDescent="0.2">
      <c r="M38" s="5"/>
      <c r="N38" s="5"/>
      <c r="O38" s="5"/>
      <c r="P38" s="5"/>
      <c r="Q38" s="5"/>
      <c r="R38" s="5"/>
    </row>
    <row r="39" spans="1:18" ht="17" x14ac:dyDescent="0.2">
      <c r="M39" s="82" t="s">
        <v>21</v>
      </c>
      <c r="N39" s="188" t="s">
        <v>75</v>
      </c>
      <c r="O39" s="189"/>
      <c r="P39" s="189"/>
      <c r="Q39" s="5"/>
      <c r="R39" s="5"/>
    </row>
    <row r="40" spans="1:18" ht="17" x14ac:dyDescent="0.2">
      <c r="M40" s="80" t="s">
        <v>17</v>
      </c>
      <c r="N40" s="78">
        <v>12</v>
      </c>
      <c r="O40" s="78">
        <v>24</v>
      </c>
      <c r="P40" s="78">
        <v>36</v>
      </c>
      <c r="Q40" s="5"/>
      <c r="R40" s="5"/>
    </row>
    <row r="41" spans="1:18" x14ac:dyDescent="0.2">
      <c r="M41" s="76">
        <f>M7</f>
        <v>2012</v>
      </c>
      <c r="N41" s="84">
        <f>N23</f>
        <v>3082.1917808219177</v>
      </c>
      <c r="O41" s="84">
        <f>O23</f>
        <v>5000</v>
      </c>
      <c r="P41" s="84">
        <f>P23</f>
        <v>5000</v>
      </c>
      <c r="Q41" s="5"/>
      <c r="R41" s="5"/>
    </row>
    <row r="42" spans="1:18" x14ac:dyDescent="0.2">
      <c r="M42" s="76">
        <f>M8</f>
        <v>2013</v>
      </c>
      <c r="N42" s="84">
        <f>N24</f>
        <v>3466.6666666666665</v>
      </c>
      <c r="O42" s="84">
        <f>O24</f>
        <v>5333.333333333333</v>
      </c>
      <c r="P42" s="175">
        <f>P43/(1+E27)</f>
        <v>5200.0000000000009</v>
      </c>
      <c r="Q42" s="5"/>
      <c r="R42" s="5"/>
    </row>
    <row r="43" spans="1:18" ht="17" customHeight="1" x14ac:dyDescent="0.2">
      <c r="M43" s="76">
        <f>M9</f>
        <v>2014</v>
      </c>
      <c r="N43" s="84">
        <f>N25</f>
        <v>2580.6451612903224</v>
      </c>
      <c r="O43" s="83">
        <f>O34</f>
        <v>5546.666666666667</v>
      </c>
      <c r="P43" s="83">
        <f>P34</f>
        <v>5408.0000000000009</v>
      </c>
      <c r="Q43" s="5"/>
      <c r="R43" s="5"/>
    </row>
    <row r="44" spans="1:18" x14ac:dyDescent="0.2">
      <c r="M44" s="5"/>
      <c r="N44" s="5"/>
      <c r="O44" s="5"/>
      <c r="P44" s="5"/>
      <c r="Q44" s="5"/>
      <c r="R44" s="5"/>
    </row>
    <row r="45" spans="1:18" ht="17" thickBot="1" x14ac:dyDescent="0.25">
      <c r="M45" s="5"/>
      <c r="N45" s="5"/>
      <c r="O45" s="5"/>
      <c r="P45" s="5"/>
      <c r="Q45" s="5"/>
      <c r="R45" s="5"/>
    </row>
    <row r="46" spans="1:18" ht="17" x14ac:dyDescent="0.2">
      <c r="M46" s="82" t="s">
        <v>21</v>
      </c>
      <c r="N46" s="188" t="s">
        <v>74</v>
      </c>
      <c r="O46" s="189"/>
      <c r="P46" s="192"/>
      <c r="Q46" s="174" t="s">
        <v>18</v>
      </c>
      <c r="R46" s="5"/>
    </row>
    <row r="47" spans="1:18" ht="17" x14ac:dyDescent="0.2">
      <c r="M47" s="80" t="s">
        <v>17</v>
      </c>
      <c r="N47" s="79">
        <v>12</v>
      </c>
      <c r="O47" s="78">
        <v>24</v>
      </c>
      <c r="P47" s="78">
        <v>36</v>
      </c>
      <c r="Q47" s="77" t="s">
        <v>72</v>
      </c>
      <c r="R47" s="5"/>
    </row>
    <row r="48" spans="1:18" x14ac:dyDescent="0.2">
      <c r="M48" s="76">
        <f>M7</f>
        <v>2012</v>
      </c>
      <c r="N48" s="75">
        <f t="shared" ref="N48:P50" si="0">N17*N41</f>
        <v>2250000</v>
      </c>
      <c r="O48" s="84">
        <f t="shared" si="0"/>
        <v>350000</v>
      </c>
      <c r="P48" s="84">
        <f t="shared" si="0"/>
        <v>100000</v>
      </c>
      <c r="Q48" s="173">
        <f>SUM(N48:P48)</f>
        <v>2700000</v>
      </c>
      <c r="R48" s="5"/>
    </row>
    <row r="49" spans="13:19" x14ac:dyDescent="0.2">
      <c r="M49" s="76">
        <f>M8</f>
        <v>2013</v>
      </c>
      <c r="N49" s="75">
        <f t="shared" si="0"/>
        <v>2600000</v>
      </c>
      <c r="O49" s="84">
        <f t="shared" si="0"/>
        <v>400000</v>
      </c>
      <c r="P49" s="74">
        <f t="shared" si="0"/>
        <v>109200.00000000001</v>
      </c>
      <c r="Q49" s="173">
        <f>SUM(N49:P49)</f>
        <v>3109200</v>
      </c>
      <c r="R49" s="5"/>
    </row>
    <row r="50" spans="13:19" ht="17" thickBot="1" x14ac:dyDescent="0.25">
      <c r="M50" s="76">
        <f>M9</f>
        <v>2014</v>
      </c>
      <c r="N50" s="75">
        <f t="shared" si="0"/>
        <v>2000000</v>
      </c>
      <c r="O50" s="74">
        <f t="shared" si="0"/>
        <v>428658.53919737233</v>
      </c>
      <c r="P50" s="74">
        <f t="shared" si="0"/>
        <v>117449.924282562</v>
      </c>
      <c r="Q50" s="172">
        <f>SUM(N50:P50)</f>
        <v>2546108.4634799343</v>
      </c>
      <c r="R50" s="5"/>
    </row>
    <row r="53" spans="13:19" x14ac:dyDescent="0.2">
      <c r="M53" s="64" t="s">
        <v>11</v>
      </c>
    </row>
    <row r="54" spans="13:19" x14ac:dyDescent="0.2">
      <c r="M54" s="159" t="s">
        <v>325</v>
      </c>
    </row>
    <row r="55" spans="13:19" x14ac:dyDescent="0.2">
      <c r="M55" s="2" t="s">
        <v>324</v>
      </c>
    </row>
    <row r="56" spans="13:19" x14ac:dyDescent="0.2">
      <c r="M56" s="2" t="s">
        <v>323</v>
      </c>
    </row>
    <row r="59" spans="13:19" ht="19" x14ac:dyDescent="0.25">
      <c r="M59" s="72" t="s">
        <v>3</v>
      </c>
    </row>
    <row r="60" spans="13:19" x14ac:dyDescent="0.2">
      <c r="M60" s="187" t="s">
        <v>322</v>
      </c>
      <c r="N60" s="187"/>
      <c r="O60" s="187"/>
      <c r="P60" s="187"/>
      <c r="Q60" s="187"/>
      <c r="R60" s="187"/>
      <c r="S60" s="187"/>
    </row>
    <row r="61" spans="13:19" x14ac:dyDescent="0.2">
      <c r="M61" s="187"/>
      <c r="N61" s="187"/>
      <c r="O61" s="187"/>
      <c r="P61" s="187"/>
      <c r="Q61" s="187"/>
      <c r="R61" s="187"/>
      <c r="S61" s="187"/>
    </row>
    <row r="62" spans="13:19" x14ac:dyDescent="0.2">
      <c r="M62" s="187"/>
      <c r="N62" s="187"/>
      <c r="O62" s="187"/>
      <c r="P62" s="187"/>
      <c r="Q62" s="187"/>
      <c r="R62" s="187"/>
      <c r="S62" s="187"/>
    </row>
    <row r="64" spans="13:19" ht="19" x14ac:dyDescent="0.25">
      <c r="M64" s="72" t="s">
        <v>1</v>
      </c>
    </row>
    <row r="65" spans="13:13" x14ac:dyDescent="0.2">
      <c r="M65" s="1" t="s">
        <v>0</v>
      </c>
    </row>
  </sheetData>
  <mergeCells count="8">
    <mergeCell ref="D6:F6"/>
    <mergeCell ref="D12:F12"/>
    <mergeCell ref="N5:P5"/>
    <mergeCell ref="M60:S62"/>
    <mergeCell ref="N21:P21"/>
    <mergeCell ref="N27:P27"/>
    <mergeCell ref="N46:P46"/>
    <mergeCell ref="N39:P39"/>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0661E-E5F7-9540-9A6B-C96F050E70F0}">
  <dimension ref="A1:T49"/>
  <sheetViews>
    <sheetView workbookViewId="0">
      <selection activeCell="B1" sqref="B1"/>
    </sheetView>
  </sheetViews>
  <sheetFormatPr baseColWidth="10" defaultColWidth="11" defaultRowHeight="16" outlineLevelCol="1" x14ac:dyDescent="0.2"/>
  <cols>
    <col min="1" max="1" width="4" style="2" customWidth="1"/>
    <col min="2" max="2" width="11.5" style="1" customWidth="1"/>
    <col min="3" max="12" width="11" style="1"/>
    <col min="13" max="19" width="10.83203125" style="1" hidden="1" customWidth="1" outlineLevel="1"/>
    <col min="20" max="20" width="11" style="1" collapsed="1"/>
    <col min="21" max="16384" width="11" style="1"/>
  </cols>
  <sheetData>
    <row r="1" spans="1:17" x14ac:dyDescent="0.2">
      <c r="A1" s="71"/>
      <c r="B1" s="70" t="s">
        <v>70</v>
      </c>
      <c r="C1" s="69" t="s">
        <v>157</v>
      </c>
      <c r="D1" s="69" t="s">
        <v>68</v>
      </c>
      <c r="E1" s="69" t="s">
        <v>156</v>
      </c>
      <c r="F1" s="68"/>
      <c r="G1" s="68"/>
      <c r="H1" s="68"/>
      <c r="I1" s="68"/>
      <c r="J1" s="68"/>
      <c r="K1" s="67"/>
      <c r="L1" s="64" t="s">
        <v>66</v>
      </c>
    </row>
    <row r="2" spans="1:17" x14ac:dyDescent="0.2">
      <c r="A2" s="38"/>
      <c r="B2" s="66" t="s">
        <v>65</v>
      </c>
      <c r="C2" s="65">
        <v>2.25</v>
      </c>
      <c r="D2" s="37"/>
      <c r="E2" s="37"/>
      <c r="F2" s="37"/>
      <c r="G2" s="37"/>
      <c r="H2" s="37"/>
      <c r="I2" s="37"/>
      <c r="J2" s="37"/>
      <c r="K2" s="36"/>
    </row>
    <row r="3" spans="1:17" x14ac:dyDescent="0.2">
      <c r="A3" s="38"/>
      <c r="B3" s="37"/>
      <c r="C3" s="37"/>
      <c r="D3" s="37"/>
      <c r="E3" s="37"/>
      <c r="F3" s="37"/>
      <c r="G3" s="37"/>
      <c r="H3" s="37"/>
      <c r="I3" s="37"/>
      <c r="J3" s="37"/>
      <c r="K3" s="36"/>
      <c r="M3" s="64" t="s">
        <v>64</v>
      </c>
    </row>
    <row r="4" spans="1:17" x14ac:dyDescent="0.2">
      <c r="A4" s="38"/>
      <c r="B4" s="37"/>
      <c r="C4" s="37" t="s">
        <v>155</v>
      </c>
      <c r="D4" s="37"/>
      <c r="E4" s="37"/>
      <c r="F4" s="37"/>
      <c r="G4" s="37"/>
      <c r="H4" s="37"/>
      <c r="I4" s="37"/>
      <c r="J4" s="37"/>
      <c r="K4" s="36"/>
    </row>
    <row r="5" spans="1:17" x14ac:dyDescent="0.2">
      <c r="A5" s="38"/>
      <c r="B5" s="37"/>
      <c r="C5" s="37"/>
      <c r="D5" s="37"/>
      <c r="E5" s="37"/>
      <c r="F5" s="37"/>
      <c r="G5" s="37"/>
      <c r="H5" s="37"/>
      <c r="I5" s="37"/>
      <c r="J5" s="37"/>
      <c r="K5" s="36"/>
      <c r="M5" s="1" t="s">
        <v>154</v>
      </c>
    </row>
    <row r="6" spans="1:17" ht="15.75" customHeight="1" x14ac:dyDescent="0.2">
      <c r="A6" s="38"/>
      <c r="B6" s="37"/>
      <c r="C6" s="62" t="s">
        <v>21</v>
      </c>
      <c r="D6" s="212" t="s">
        <v>153</v>
      </c>
      <c r="E6" s="212"/>
      <c r="F6" s="212"/>
      <c r="G6" s="183"/>
      <c r="H6" s="37"/>
      <c r="I6" s="37"/>
      <c r="J6" s="37"/>
      <c r="K6" s="36"/>
    </row>
    <row r="7" spans="1:17" x14ac:dyDescent="0.2">
      <c r="A7" s="38"/>
      <c r="B7" s="37"/>
      <c r="C7" s="42" t="s">
        <v>149</v>
      </c>
      <c r="D7" s="138">
        <v>48</v>
      </c>
      <c r="E7" s="51">
        <v>60</v>
      </c>
      <c r="F7" s="51">
        <v>72</v>
      </c>
      <c r="G7" s="51">
        <v>84</v>
      </c>
      <c r="H7" s="37"/>
      <c r="I7" s="37"/>
      <c r="J7" s="37"/>
      <c r="K7" s="36"/>
      <c r="M7" s="1" t="s">
        <v>152</v>
      </c>
    </row>
    <row r="8" spans="1:17" x14ac:dyDescent="0.2">
      <c r="A8" s="38"/>
      <c r="B8" s="37"/>
      <c r="C8" s="42">
        <v>2010</v>
      </c>
      <c r="D8" s="51">
        <v>60</v>
      </c>
      <c r="E8" s="51">
        <v>25</v>
      </c>
      <c r="F8" s="51">
        <v>15</v>
      </c>
      <c r="G8" s="51">
        <v>5</v>
      </c>
      <c r="H8" s="37"/>
      <c r="I8" s="37"/>
      <c r="J8" s="37"/>
      <c r="K8" s="36"/>
    </row>
    <row r="9" spans="1:17" ht="17" x14ac:dyDescent="0.2">
      <c r="A9" s="38"/>
      <c r="B9" s="37"/>
      <c r="C9" s="51">
        <v>2011</v>
      </c>
      <c r="D9" s="51">
        <v>60</v>
      </c>
      <c r="E9" s="51">
        <v>30</v>
      </c>
      <c r="F9" s="51">
        <v>15</v>
      </c>
      <c r="G9" s="51"/>
      <c r="H9" s="37"/>
      <c r="I9" s="37"/>
      <c r="J9" s="37"/>
      <c r="K9" s="36"/>
      <c r="M9" s="82" t="s">
        <v>21</v>
      </c>
      <c r="N9" s="188" t="s">
        <v>151</v>
      </c>
      <c r="O9" s="189"/>
      <c r="P9" s="189"/>
      <c r="Q9" s="189"/>
    </row>
    <row r="10" spans="1:17" ht="17" x14ac:dyDescent="0.2">
      <c r="A10" s="38"/>
      <c r="B10" s="37"/>
      <c r="C10" s="51">
        <v>2012</v>
      </c>
      <c r="D10" s="51">
        <v>100</v>
      </c>
      <c r="E10" s="51">
        <v>25</v>
      </c>
      <c r="F10" s="51"/>
      <c r="G10" s="51"/>
      <c r="H10" s="37"/>
      <c r="I10" s="37"/>
      <c r="J10" s="37"/>
      <c r="K10" s="36"/>
      <c r="M10" s="80" t="s">
        <v>17</v>
      </c>
      <c r="N10" s="78">
        <f>D7</f>
        <v>48</v>
      </c>
      <c r="O10" s="78">
        <f>E7</f>
        <v>60</v>
      </c>
      <c r="P10" s="78">
        <f>F7</f>
        <v>72</v>
      </c>
      <c r="Q10" s="78">
        <f>G7</f>
        <v>84</v>
      </c>
    </row>
    <row r="11" spans="1:17" x14ac:dyDescent="0.2">
      <c r="A11" s="38"/>
      <c r="B11" s="37"/>
      <c r="C11" s="51">
        <v>2013</v>
      </c>
      <c r="D11" s="51">
        <v>80</v>
      </c>
      <c r="E11" s="51"/>
      <c r="F11" s="51"/>
      <c r="G11" s="51"/>
      <c r="H11" s="37"/>
      <c r="I11" s="37"/>
      <c r="J11" s="37"/>
      <c r="K11" s="36"/>
      <c r="M11" s="76">
        <f>C8</f>
        <v>2010</v>
      </c>
      <c r="N11" s="85">
        <f>D15*1000/D8</f>
        <v>23333.333333333332</v>
      </c>
      <c r="O11" s="85">
        <f>E15*1000/E8</f>
        <v>100000</v>
      </c>
      <c r="P11" s="85">
        <f>F15*1000/F8</f>
        <v>133333.33333333334</v>
      </c>
      <c r="Q11" s="85">
        <f>G15*1000/G8</f>
        <v>80000</v>
      </c>
    </row>
    <row r="12" spans="1:17" x14ac:dyDescent="0.2">
      <c r="A12" s="38"/>
      <c r="B12" s="37"/>
      <c r="C12" s="37"/>
      <c r="D12" s="37"/>
      <c r="E12" s="37"/>
      <c r="F12" s="37"/>
      <c r="G12" s="37"/>
      <c r="H12" s="37"/>
      <c r="I12" s="37"/>
      <c r="J12" s="37"/>
      <c r="K12" s="36"/>
      <c r="M12" s="76">
        <f>C9</f>
        <v>2011</v>
      </c>
      <c r="N12" s="85">
        <f>D16*1000/D9</f>
        <v>26666.666666666668</v>
      </c>
      <c r="O12" s="85">
        <f>E16*1000/E9</f>
        <v>36666.666666666664</v>
      </c>
      <c r="P12" s="85">
        <f>F16*1000/F9</f>
        <v>40000</v>
      </c>
      <c r="Q12" s="85"/>
    </row>
    <row r="13" spans="1:17" x14ac:dyDescent="0.2">
      <c r="A13" s="38"/>
      <c r="B13" s="40"/>
      <c r="C13" s="62" t="s">
        <v>21</v>
      </c>
      <c r="D13" s="211" t="s">
        <v>150</v>
      </c>
      <c r="E13" s="212"/>
      <c r="F13" s="212"/>
      <c r="G13" s="183"/>
      <c r="H13" s="37"/>
      <c r="I13" s="37"/>
      <c r="J13" s="37"/>
      <c r="K13" s="36"/>
      <c r="M13" s="76">
        <f>C10</f>
        <v>2012</v>
      </c>
      <c r="N13" s="85">
        <f>D17*1000/D10</f>
        <v>28000</v>
      </c>
      <c r="O13" s="85">
        <f>E17*1000/E10</f>
        <v>76000</v>
      </c>
      <c r="P13" s="85"/>
      <c r="Q13" s="85"/>
    </row>
    <row r="14" spans="1:17" x14ac:dyDescent="0.2">
      <c r="A14" s="38"/>
      <c r="B14" s="40"/>
      <c r="C14" s="42" t="s">
        <v>149</v>
      </c>
      <c r="D14" s="51">
        <v>48</v>
      </c>
      <c r="E14" s="51">
        <v>60</v>
      </c>
      <c r="F14" s="51">
        <v>72</v>
      </c>
      <c r="G14" s="51">
        <v>84</v>
      </c>
      <c r="H14" s="37"/>
      <c r="I14" s="37"/>
      <c r="J14" s="37"/>
      <c r="K14" s="36"/>
      <c r="M14" s="76">
        <f>C11</f>
        <v>2013</v>
      </c>
      <c r="N14" s="85">
        <f>D18*1000/D11</f>
        <v>26250</v>
      </c>
      <c r="O14" s="85"/>
      <c r="P14" s="85"/>
      <c r="Q14" s="85"/>
    </row>
    <row r="15" spans="1:17" x14ac:dyDescent="0.2">
      <c r="A15" s="38"/>
      <c r="B15" s="40"/>
      <c r="C15" s="51">
        <v>2010</v>
      </c>
      <c r="D15" s="50">
        <v>1400</v>
      </c>
      <c r="E15" s="50">
        <v>2500</v>
      </c>
      <c r="F15" s="50">
        <v>2000</v>
      </c>
      <c r="G15" s="50">
        <v>400</v>
      </c>
      <c r="H15" s="37"/>
      <c r="I15" s="37"/>
      <c r="J15" s="37"/>
      <c r="K15" s="36"/>
      <c r="M15" s="5"/>
      <c r="N15" s="5"/>
      <c r="O15" s="5"/>
      <c r="P15" s="5"/>
      <c r="Q15" s="5"/>
    </row>
    <row r="16" spans="1:17" ht="17" x14ac:dyDescent="0.2">
      <c r="A16" s="38"/>
      <c r="B16" s="40"/>
      <c r="C16" s="51">
        <v>2011</v>
      </c>
      <c r="D16" s="50">
        <v>1600</v>
      </c>
      <c r="E16" s="50">
        <v>1100</v>
      </c>
      <c r="F16" s="50">
        <v>600</v>
      </c>
      <c r="G16" s="50"/>
      <c r="H16" s="37"/>
      <c r="I16" s="37"/>
      <c r="J16" s="37"/>
      <c r="K16" s="36"/>
      <c r="M16" s="82" t="s">
        <v>21</v>
      </c>
      <c r="N16" s="190" t="s">
        <v>78</v>
      </c>
      <c r="O16" s="191"/>
      <c r="P16" s="191"/>
      <c r="Q16" s="191"/>
    </row>
    <row r="17" spans="1:19" ht="17" x14ac:dyDescent="0.2">
      <c r="A17" s="38"/>
      <c r="B17" s="40"/>
      <c r="C17" s="51">
        <v>2012</v>
      </c>
      <c r="D17" s="50">
        <v>2800</v>
      </c>
      <c r="E17" s="50">
        <v>1900</v>
      </c>
      <c r="F17" s="50"/>
      <c r="G17" s="50"/>
      <c r="H17" s="37"/>
      <c r="I17" s="37"/>
      <c r="J17" s="37"/>
      <c r="K17" s="36"/>
      <c r="M17" s="80" t="s">
        <v>17</v>
      </c>
      <c r="N17" s="78">
        <f>N10</f>
        <v>48</v>
      </c>
      <c r="O17" s="78">
        <f>O10</f>
        <v>60</v>
      </c>
      <c r="P17" s="78">
        <f>P10</f>
        <v>72</v>
      </c>
      <c r="Q17" s="78">
        <f>Q10</f>
        <v>84</v>
      </c>
    </row>
    <row r="18" spans="1:19" x14ac:dyDescent="0.2">
      <c r="A18" s="38"/>
      <c r="B18" s="40"/>
      <c r="C18" s="51">
        <v>2013</v>
      </c>
      <c r="D18" s="50">
        <v>2100</v>
      </c>
      <c r="E18" s="50"/>
      <c r="F18" s="50"/>
      <c r="G18" s="50"/>
      <c r="H18" s="37"/>
      <c r="I18" s="37"/>
      <c r="J18" s="37"/>
      <c r="K18" s="36"/>
      <c r="M18" s="76">
        <f>M11</f>
        <v>2010</v>
      </c>
      <c r="N18" s="85">
        <f>N11*(1+$I$20)^(2016-$M18)</f>
        <v>31268.898281249996</v>
      </c>
      <c r="O18" s="85">
        <f>O11*(1+$I$20)^(2016-$M18)</f>
        <v>134009.56406249999</v>
      </c>
      <c r="P18" s="85">
        <f>P11*(1+$I$20)^(2016-$M18)</f>
        <v>178679.41875000001</v>
      </c>
      <c r="Q18" s="85">
        <f>Q11*(1+$I$20)^(2016-$M18)</f>
        <v>107207.65125</v>
      </c>
    </row>
    <row r="19" spans="1:19" x14ac:dyDescent="0.2">
      <c r="A19" s="38"/>
      <c r="B19" s="40"/>
      <c r="C19" s="37"/>
      <c r="D19" s="37"/>
      <c r="E19" s="37"/>
      <c r="F19" s="37"/>
      <c r="G19" s="37"/>
      <c r="H19" s="37"/>
      <c r="I19" s="37"/>
      <c r="J19" s="37"/>
      <c r="K19" s="36"/>
      <c r="M19" s="76">
        <f>M12</f>
        <v>2011</v>
      </c>
      <c r="N19" s="85">
        <f>N12*(1+$I$20)^(2016-$M19)</f>
        <v>34034.175000000003</v>
      </c>
      <c r="O19" s="85">
        <f>O12*(1+$I$20)^(2016-$M19)</f>
        <v>46796.990624999999</v>
      </c>
      <c r="P19" s="85">
        <f>P12*(1+$I$20)^(2016-$M19)</f>
        <v>51051.262500000004</v>
      </c>
      <c r="Q19" s="85"/>
    </row>
    <row r="20" spans="1:19" x14ac:dyDescent="0.2">
      <c r="A20" s="38"/>
      <c r="B20" s="40"/>
      <c r="C20" s="37" t="s">
        <v>148</v>
      </c>
      <c r="D20" s="37"/>
      <c r="E20" s="37"/>
      <c r="F20" s="37"/>
      <c r="G20" s="37"/>
      <c r="H20" s="37"/>
      <c r="I20" s="137">
        <v>0.05</v>
      </c>
      <c r="J20" s="136"/>
      <c r="K20" s="36"/>
      <c r="M20" s="76">
        <f>M13</f>
        <v>2012</v>
      </c>
      <c r="N20" s="85">
        <f>N13*(1+$I$20)^(2016-$M20)</f>
        <v>34034.175000000003</v>
      </c>
      <c r="O20" s="85">
        <f>O13*(1+$I$20)^(2016-$M20)</f>
        <v>92378.475000000006</v>
      </c>
      <c r="P20" s="85"/>
      <c r="Q20" s="85"/>
    </row>
    <row r="21" spans="1:19" x14ac:dyDescent="0.2">
      <c r="A21" s="38"/>
      <c r="B21" s="40"/>
      <c r="C21" s="37" t="s">
        <v>147</v>
      </c>
      <c r="D21" s="37"/>
      <c r="E21" s="37"/>
      <c r="F21" s="37"/>
      <c r="G21" s="37"/>
      <c r="H21" s="37"/>
      <c r="I21" s="135">
        <v>114000</v>
      </c>
      <c r="J21" s="134"/>
      <c r="K21" s="36"/>
      <c r="M21" s="76">
        <f>M14</f>
        <v>2013</v>
      </c>
      <c r="N21" s="85">
        <f>N14*(1+$I$20)^(2016-$M21)</f>
        <v>30387.656250000004</v>
      </c>
      <c r="O21" s="85"/>
      <c r="P21" s="85"/>
      <c r="Q21" s="85"/>
    </row>
    <row r="22" spans="1:19" x14ac:dyDescent="0.2">
      <c r="A22" s="38"/>
      <c r="B22" s="40"/>
      <c r="C22" s="37" t="s">
        <v>146</v>
      </c>
      <c r="D22" s="37"/>
      <c r="E22" s="37"/>
      <c r="F22" s="37"/>
      <c r="G22" s="37"/>
      <c r="H22" s="37"/>
      <c r="I22" s="135">
        <v>107000</v>
      </c>
      <c r="J22" s="134"/>
      <c r="K22" s="36"/>
    </row>
    <row r="23" spans="1:19" x14ac:dyDescent="0.2">
      <c r="A23" s="38"/>
      <c r="B23" s="37"/>
      <c r="C23" s="37"/>
      <c r="D23" s="37"/>
      <c r="E23" s="37"/>
      <c r="F23" s="37"/>
      <c r="G23" s="37"/>
      <c r="H23" s="37"/>
      <c r="I23" s="37"/>
      <c r="J23" s="37"/>
      <c r="K23" s="36"/>
      <c r="M23" s="133"/>
      <c r="N23" s="132"/>
      <c r="O23" s="131" t="s">
        <v>145</v>
      </c>
      <c r="P23" s="131" t="s">
        <v>144</v>
      </c>
      <c r="Q23" s="130" t="s">
        <v>143</v>
      </c>
      <c r="R23" s="130" t="s">
        <v>142</v>
      </c>
    </row>
    <row r="24" spans="1:19" x14ac:dyDescent="0.2">
      <c r="A24" s="38" t="s">
        <v>40</v>
      </c>
      <c r="B24" s="37" t="s">
        <v>141</v>
      </c>
      <c r="C24" s="91" t="s">
        <v>140</v>
      </c>
      <c r="D24" s="37"/>
      <c r="E24" s="37"/>
      <c r="F24" s="37"/>
      <c r="G24" s="37"/>
      <c r="H24" s="37"/>
      <c r="I24" s="37"/>
      <c r="J24" s="37"/>
      <c r="K24" s="36"/>
      <c r="M24" s="124" t="s">
        <v>139</v>
      </c>
      <c r="N24" s="129"/>
      <c r="O24" s="126">
        <f>SUM(D8:G11)</f>
        <v>415</v>
      </c>
      <c r="P24" s="126">
        <f>SUM(E8:G10)</f>
        <v>115</v>
      </c>
      <c r="Q24" s="120">
        <f>SUM(F8:G9)</f>
        <v>35</v>
      </c>
      <c r="R24" s="120">
        <f>SUM(G8)</f>
        <v>5</v>
      </c>
    </row>
    <row r="25" spans="1:19" ht="17" thickBot="1" x14ac:dyDescent="0.25">
      <c r="A25" s="38"/>
      <c r="B25" s="37"/>
      <c r="C25" s="91" t="s">
        <v>138</v>
      </c>
      <c r="D25" s="37"/>
      <c r="E25" s="37"/>
      <c r="F25" s="37"/>
      <c r="G25" s="37"/>
      <c r="H25" s="37"/>
      <c r="I25" s="37"/>
      <c r="J25" s="37"/>
      <c r="K25" s="36"/>
      <c r="M25" s="128" t="s">
        <v>137</v>
      </c>
      <c r="N25" s="127"/>
      <c r="O25" s="126">
        <f>SUMPRODUCT(N18:Q21,D8:G11)</f>
        <v>20798223.567187499</v>
      </c>
      <c r="P25" s="126">
        <f>SUMPRODUCT(O18:Q20,E8:G10)</f>
        <v>11045609.1703125</v>
      </c>
      <c r="Q25" s="125">
        <f>SUMPRODUCT(P18:Q19,F8:G9)</f>
        <v>3981998.4750000001</v>
      </c>
      <c r="R25" s="125">
        <f>SUMPRODUCT(Q18,G8)</f>
        <v>536038.25624999998</v>
      </c>
    </row>
    <row r="26" spans="1:19" ht="17" thickBot="1" x14ac:dyDescent="0.25">
      <c r="A26" s="38"/>
      <c r="B26" s="37"/>
      <c r="C26" s="91"/>
      <c r="D26" s="37"/>
      <c r="E26" s="37"/>
      <c r="F26" s="37"/>
      <c r="G26" s="37"/>
      <c r="H26" s="37"/>
      <c r="I26" s="37"/>
      <c r="J26" s="37"/>
      <c r="K26" s="36"/>
      <c r="M26" s="124" t="s">
        <v>136</v>
      </c>
      <c r="N26" s="123"/>
      <c r="O26" s="122">
        <f>O25/O24</f>
        <v>50116.201366716865</v>
      </c>
      <c r="P26" s="121">
        <f>P25/P24</f>
        <v>96048.775394021737</v>
      </c>
      <c r="Q26" s="120">
        <f>Q25/Q24</f>
        <v>113771.38500000001</v>
      </c>
      <c r="R26" s="120">
        <f>R25/R24</f>
        <v>107207.65125</v>
      </c>
    </row>
    <row r="27" spans="1:19" x14ac:dyDescent="0.2">
      <c r="A27" s="38" t="s">
        <v>36</v>
      </c>
      <c r="B27" s="37" t="s">
        <v>135</v>
      </c>
      <c r="C27" s="91" t="s">
        <v>134</v>
      </c>
      <c r="D27" s="37"/>
      <c r="E27" s="37"/>
      <c r="F27" s="37"/>
      <c r="G27" s="37"/>
      <c r="H27" s="37"/>
      <c r="I27" s="37"/>
      <c r="J27" s="37"/>
      <c r="K27" s="36"/>
    </row>
    <row r="28" spans="1:19" x14ac:dyDescent="0.2">
      <c r="A28" s="38"/>
      <c r="B28" s="37"/>
      <c r="C28" s="37" t="s">
        <v>133</v>
      </c>
      <c r="D28" s="37"/>
      <c r="E28" s="37"/>
      <c r="F28" s="37"/>
      <c r="G28" s="37"/>
      <c r="H28" s="37"/>
      <c r="I28" s="37"/>
      <c r="J28" s="37"/>
      <c r="K28" s="36"/>
      <c r="M28" s="213" t="s">
        <v>132</v>
      </c>
      <c r="N28" s="213"/>
      <c r="O28" s="213"/>
      <c r="P28" s="213"/>
      <c r="Q28" s="213"/>
      <c r="R28" s="213"/>
      <c r="S28" s="213"/>
    </row>
    <row r="29" spans="1:19" ht="17" thickBot="1" x14ac:dyDescent="0.25">
      <c r="A29" s="119"/>
      <c r="B29" s="88"/>
      <c r="C29" s="89"/>
      <c r="D29" s="88"/>
      <c r="E29" s="88"/>
      <c r="F29" s="88"/>
      <c r="G29" s="88"/>
      <c r="H29" s="88"/>
      <c r="I29" s="88"/>
      <c r="J29" s="88"/>
      <c r="K29" s="87"/>
      <c r="M29" s="213"/>
      <c r="N29" s="213"/>
      <c r="O29" s="213"/>
      <c r="P29" s="213"/>
      <c r="Q29" s="213"/>
      <c r="R29" s="213"/>
      <c r="S29" s="213"/>
    </row>
    <row r="30" spans="1:19" ht="17" thickBot="1" x14ac:dyDescent="0.25">
      <c r="A30" s="35" t="s">
        <v>32</v>
      </c>
      <c r="B30" s="33"/>
      <c r="C30" s="34"/>
      <c r="D30" s="33"/>
      <c r="E30" s="33"/>
      <c r="F30" s="33"/>
      <c r="G30" s="33"/>
      <c r="H30" s="33"/>
      <c r="I30" s="33"/>
      <c r="J30" s="33"/>
      <c r="K30" s="32"/>
    </row>
    <row r="32" spans="1:19" x14ac:dyDescent="0.2">
      <c r="M32" s="64" t="s">
        <v>11</v>
      </c>
    </row>
    <row r="33" spans="13:19" ht="16" customHeight="1" x14ac:dyDescent="0.2">
      <c r="M33" s="187" t="s">
        <v>131</v>
      </c>
      <c r="N33" s="187"/>
      <c r="O33" s="187"/>
      <c r="P33" s="187"/>
      <c r="Q33" s="187"/>
      <c r="R33" s="187"/>
      <c r="S33" s="187"/>
    </row>
    <row r="34" spans="13:19" x14ac:dyDescent="0.2">
      <c r="M34" s="187"/>
      <c r="N34" s="187"/>
      <c r="O34" s="187"/>
      <c r="P34" s="187"/>
      <c r="Q34" s="187"/>
      <c r="R34" s="187"/>
      <c r="S34" s="187"/>
    </row>
    <row r="35" spans="13:19" x14ac:dyDescent="0.2">
      <c r="M35" s="187"/>
      <c r="N35" s="187"/>
      <c r="O35" s="187"/>
      <c r="P35" s="187"/>
      <c r="Q35" s="187"/>
      <c r="R35" s="187"/>
      <c r="S35" s="187"/>
    </row>
    <row r="36" spans="13:19" x14ac:dyDescent="0.2">
      <c r="M36" s="187"/>
      <c r="N36" s="187"/>
      <c r="O36" s="187"/>
      <c r="P36" s="187"/>
      <c r="Q36" s="187"/>
      <c r="R36" s="187"/>
      <c r="S36" s="187"/>
    </row>
    <row r="39" spans="13:19" ht="19" x14ac:dyDescent="0.25">
      <c r="M39" s="72" t="s">
        <v>3</v>
      </c>
    </row>
    <row r="40" spans="13:19" x14ac:dyDescent="0.2">
      <c r="M40" s="187" t="s">
        <v>130</v>
      </c>
      <c r="N40" s="187"/>
      <c r="O40" s="187"/>
      <c r="P40" s="187"/>
      <c r="Q40" s="187"/>
      <c r="R40" s="187"/>
      <c r="S40" s="187"/>
    </row>
    <row r="41" spans="13:19" x14ac:dyDescent="0.2">
      <c r="M41" s="187"/>
      <c r="N41" s="187"/>
      <c r="O41" s="187"/>
      <c r="P41" s="187"/>
      <c r="Q41" s="187"/>
      <c r="R41" s="187"/>
      <c r="S41" s="187"/>
    </row>
    <row r="42" spans="13:19" x14ac:dyDescent="0.2">
      <c r="M42" s="187"/>
      <c r="N42" s="187"/>
      <c r="O42" s="187"/>
      <c r="P42" s="187"/>
      <c r="Q42" s="187"/>
      <c r="R42" s="187"/>
      <c r="S42" s="187"/>
    </row>
    <row r="43" spans="13:19" x14ac:dyDescent="0.2">
      <c r="M43" s="187"/>
      <c r="N43" s="187"/>
      <c r="O43" s="187"/>
      <c r="P43" s="187"/>
      <c r="Q43" s="187"/>
      <c r="R43" s="187"/>
      <c r="S43" s="187"/>
    </row>
    <row r="44" spans="13:19" x14ac:dyDescent="0.2">
      <c r="M44" s="187"/>
      <c r="N44" s="187"/>
      <c r="O44" s="187"/>
      <c r="P44" s="187"/>
      <c r="Q44" s="187"/>
      <c r="R44" s="187"/>
      <c r="S44" s="187"/>
    </row>
    <row r="45" spans="13:19" x14ac:dyDescent="0.2">
      <c r="M45" s="187"/>
      <c r="N45" s="187"/>
      <c r="O45" s="187"/>
      <c r="P45" s="187"/>
      <c r="Q45" s="187"/>
      <c r="R45" s="187"/>
      <c r="S45" s="187"/>
    </row>
    <row r="46" spans="13:19" x14ac:dyDescent="0.2">
      <c r="M46" s="187"/>
      <c r="N46" s="187"/>
      <c r="O46" s="187"/>
      <c r="P46" s="187"/>
      <c r="Q46" s="187"/>
      <c r="R46" s="187"/>
      <c r="S46" s="187"/>
    </row>
    <row r="48" spans="13:19" ht="19" x14ac:dyDescent="0.25">
      <c r="M48" s="72" t="s">
        <v>1</v>
      </c>
    </row>
    <row r="49" spans="13:13" x14ac:dyDescent="0.2">
      <c r="M49" s="1" t="s">
        <v>71</v>
      </c>
    </row>
  </sheetData>
  <mergeCells count="7">
    <mergeCell ref="M33:S36"/>
    <mergeCell ref="M40:S46"/>
    <mergeCell ref="D13:G13"/>
    <mergeCell ref="D6:G6"/>
    <mergeCell ref="N9:Q9"/>
    <mergeCell ref="N16:Q16"/>
    <mergeCell ref="M28:S29"/>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03239-CEBB-C645-9656-A06C1A5ED416}">
  <dimension ref="A1:X56"/>
  <sheetViews>
    <sheetView workbookViewId="0">
      <selection activeCell="B1" sqref="B1"/>
    </sheetView>
  </sheetViews>
  <sheetFormatPr baseColWidth="10" defaultColWidth="10.6640625" defaultRowHeight="16" outlineLevelCol="1" x14ac:dyDescent="0.2"/>
  <cols>
    <col min="1" max="1" width="4" style="1" customWidth="1"/>
    <col min="2" max="2" width="11.5" style="1" customWidth="1"/>
    <col min="3" max="3" width="10.6640625" style="1"/>
    <col min="4" max="4" width="11" style="1" customWidth="1"/>
    <col min="5" max="7" width="10.6640625" style="1"/>
    <col min="8" max="8" width="3.6640625" style="1" customWidth="1"/>
    <col min="9" max="9" width="10.6640625" style="1"/>
    <col min="10" max="12" width="11.5" style="1" customWidth="1"/>
    <col min="13" max="15" width="10.6640625" style="1"/>
    <col min="16" max="22" width="10.83203125" style="1" hidden="1" customWidth="1" outlineLevel="1"/>
    <col min="23" max="23" width="11.83203125" style="1" hidden="1" customWidth="1" outlineLevel="1"/>
    <col min="24" max="24" width="10.6640625" style="1" collapsed="1"/>
    <col min="25" max="16384" width="10.6640625" style="1"/>
  </cols>
  <sheetData>
    <row r="1" spans="1:23" x14ac:dyDescent="0.2">
      <c r="A1" s="100"/>
      <c r="B1" s="70" t="s">
        <v>70</v>
      </c>
      <c r="C1" s="69" t="s">
        <v>94</v>
      </c>
      <c r="D1" s="69" t="s">
        <v>68</v>
      </c>
      <c r="E1" s="69" t="s">
        <v>129</v>
      </c>
      <c r="F1" s="68"/>
      <c r="G1" s="68"/>
      <c r="H1" s="68"/>
      <c r="I1" s="68"/>
      <c r="J1" s="68"/>
      <c r="K1" s="68"/>
      <c r="L1" s="68"/>
      <c r="M1" s="68"/>
      <c r="N1" s="67"/>
      <c r="O1" s="64" t="s">
        <v>66</v>
      </c>
    </row>
    <row r="2" spans="1:23" x14ac:dyDescent="0.2">
      <c r="A2" s="92"/>
      <c r="B2" s="66" t="s">
        <v>65</v>
      </c>
      <c r="C2" s="65">
        <v>2.5</v>
      </c>
      <c r="D2" s="37"/>
      <c r="E2" s="37"/>
      <c r="F2" s="37"/>
      <c r="G2" s="37"/>
      <c r="H2" s="37"/>
      <c r="I2" s="37"/>
      <c r="J2" s="37"/>
      <c r="K2" s="37"/>
      <c r="L2" s="37"/>
      <c r="M2" s="37"/>
      <c r="N2" s="36"/>
    </row>
    <row r="3" spans="1:23" x14ac:dyDescent="0.2">
      <c r="A3" s="92"/>
      <c r="B3" s="37"/>
      <c r="C3" s="37"/>
      <c r="D3" s="37"/>
      <c r="E3" s="37"/>
      <c r="F3" s="37"/>
      <c r="G3" s="37"/>
      <c r="H3" s="37"/>
      <c r="I3" s="37"/>
      <c r="J3" s="37"/>
      <c r="K3" s="37"/>
      <c r="L3" s="37"/>
      <c r="M3" s="37"/>
      <c r="N3" s="36"/>
      <c r="P3" s="1" t="s">
        <v>128</v>
      </c>
    </row>
    <row r="4" spans="1:23" x14ac:dyDescent="0.2">
      <c r="A4" s="92"/>
      <c r="B4" s="37"/>
      <c r="C4" s="37" t="s">
        <v>127</v>
      </c>
      <c r="D4" s="37"/>
      <c r="E4" s="37"/>
      <c r="F4" s="37"/>
      <c r="G4" s="37"/>
      <c r="H4" s="37"/>
      <c r="I4" s="37"/>
      <c r="J4" s="37"/>
      <c r="K4" s="37"/>
      <c r="L4" s="37"/>
      <c r="M4" s="37"/>
      <c r="N4" s="36"/>
    </row>
    <row r="5" spans="1:23" x14ac:dyDescent="0.2">
      <c r="A5" s="92"/>
      <c r="B5" s="37"/>
      <c r="C5" s="37"/>
      <c r="D5" s="37"/>
      <c r="E5" s="37"/>
      <c r="F5" s="37"/>
      <c r="G5" s="37"/>
      <c r="H5" s="37"/>
      <c r="I5" s="37"/>
      <c r="J5" s="37"/>
      <c r="K5" s="37"/>
      <c r="L5" s="37"/>
      <c r="M5" s="37"/>
      <c r="N5" s="36"/>
      <c r="P5" s="5"/>
      <c r="Q5" s="5"/>
      <c r="R5" s="5"/>
      <c r="S5" s="5"/>
      <c r="T5" s="5"/>
      <c r="U5" s="5"/>
      <c r="V5" s="5"/>
      <c r="W5" s="5"/>
    </row>
    <row r="6" spans="1:23" x14ac:dyDescent="0.2">
      <c r="A6" s="92"/>
      <c r="B6" s="37"/>
      <c r="C6" s="215" t="s">
        <v>87</v>
      </c>
      <c r="D6" s="184" t="s">
        <v>126</v>
      </c>
      <c r="E6" s="184"/>
      <c r="F6" s="184"/>
      <c r="G6" s="184"/>
      <c r="H6" s="37"/>
      <c r="I6" s="215" t="s">
        <v>87</v>
      </c>
      <c r="J6" s="184" t="s">
        <v>125</v>
      </c>
      <c r="K6" s="184"/>
      <c r="L6" s="184"/>
      <c r="M6" s="184"/>
      <c r="N6" s="36"/>
      <c r="P6" s="186" t="s">
        <v>124</v>
      </c>
      <c r="Q6" s="186"/>
      <c r="R6" s="186"/>
      <c r="S6" s="186"/>
      <c r="T6" s="186"/>
      <c r="U6" s="114"/>
      <c r="V6" s="5"/>
      <c r="W6" s="5"/>
    </row>
    <row r="7" spans="1:23" ht="17" x14ac:dyDescent="0.2">
      <c r="A7" s="92"/>
      <c r="B7" s="37"/>
      <c r="C7" s="215"/>
      <c r="D7" s="51">
        <v>12</v>
      </c>
      <c r="E7" s="51">
        <v>24</v>
      </c>
      <c r="F7" s="51">
        <v>36</v>
      </c>
      <c r="G7" s="51">
        <v>48</v>
      </c>
      <c r="H7" s="37"/>
      <c r="I7" s="215"/>
      <c r="J7" s="51">
        <v>12</v>
      </c>
      <c r="K7" s="51">
        <v>24</v>
      </c>
      <c r="L7" s="51">
        <v>36</v>
      </c>
      <c r="M7" s="51">
        <v>48</v>
      </c>
      <c r="N7" s="36"/>
      <c r="P7" s="16"/>
      <c r="Q7" s="112" t="s">
        <v>113</v>
      </c>
      <c r="R7" s="111" t="s">
        <v>112</v>
      </c>
      <c r="S7" s="111" t="s">
        <v>111</v>
      </c>
      <c r="T7" s="111" t="s">
        <v>110</v>
      </c>
      <c r="U7" s="10"/>
      <c r="V7" s="10"/>
      <c r="W7" s="5"/>
    </row>
    <row r="8" spans="1:23" x14ac:dyDescent="0.2">
      <c r="A8" s="92"/>
      <c r="B8" s="37"/>
      <c r="C8" s="116">
        <v>2014</v>
      </c>
      <c r="D8" s="50">
        <v>3002</v>
      </c>
      <c r="E8" s="50">
        <v>3585</v>
      </c>
      <c r="F8" s="50">
        <v>3857</v>
      </c>
      <c r="G8" s="50">
        <v>4020</v>
      </c>
      <c r="H8" s="37"/>
      <c r="I8" s="116">
        <v>2014</v>
      </c>
      <c r="J8" s="116">
        <v>940</v>
      </c>
      <c r="K8" s="116">
        <v>975</v>
      </c>
      <c r="L8" s="116">
        <v>980</v>
      </c>
      <c r="M8" s="116">
        <v>980</v>
      </c>
      <c r="N8" s="36"/>
      <c r="P8" s="110" t="s">
        <v>109</v>
      </c>
      <c r="Q8" s="108">
        <f>AVERAGE(J16:J18)</f>
        <v>1.0392287067250268</v>
      </c>
      <c r="R8" s="108">
        <f>AVERAGE(K16:K18)</f>
        <v>1.0039240300346375</v>
      </c>
      <c r="S8" s="108">
        <f>AVERAGE(L16:L18)</f>
        <v>1</v>
      </c>
      <c r="T8" s="108">
        <v>1</v>
      </c>
      <c r="U8" s="10"/>
      <c r="V8" s="10"/>
      <c r="W8" s="5"/>
    </row>
    <row r="9" spans="1:23" x14ac:dyDescent="0.2">
      <c r="A9" s="92"/>
      <c r="B9" s="37"/>
      <c r="C9" s="116">
        <v>2015</v>
      </c>
      <c r="D9" s="50">
        <v>3440</v>
      </c>
      <c r="E9" s="50">
        <v>4107</v>
      </c>
      <c r="F9" s="50">
        <v>4522</v>
      </c>
      <c r="G9" s="50"/>
      <c r="H9" s="37"/>
      <c r="I9" s="116">
        <v>2015</v>
      </c>
      <c r="J9" s="117">
        <v>1060</v>
      </c>
      <c r="K9" s="117">
        <v>1103</v>
      </c>
      <c r="L9" s="117">
        <v>1106</v>
      </c>
      <c r="M9" s="116"/>
      <c r="N9" s="36"/>
      <c r="P9" s="110" t="s">
        <v>104</v>
      </c>
      <c r="Q9" s="109">
        <f>Q8*R9</f>
        <v>1.0433066713830732</v>
      </c>
      <c r="R9" s="109">
        <f>R8*S9</f>
        <v>1.0039240300346375</v>
      </c>
      <c r="S9" s="109">
        <f>S8*T9</f>
        <v>1</v>
      </c>
      <c r="T9" s="109">
        <f>T8</f>
        <v>1</v>
      </c>
      <c r="U9" s="10"/>
      <c r="V9" s="10"/>
      <c r="W9" s="5"/>
    </row>
    <row r="10" spans="1:23" x14ac:dyDescent="0.2">
      <c r="A10" s="92"/>
      <c r="B10" s="37"/>
      <c r="C10" s="116">
        <v>2016</v>
      </c>
      <c r="D10" s="50">
        <v>3427</v>
      </c>
      <c r="E10" s="50">
        <v>4109</v>
      </c>
      <c r="F10" s="50"/>
      <c r="G10" s="50"/>
      <c r="H10" s="37"/>
      <c r="I10" s="116">
        <v>2016</v>
      </c>
      <c r="J10" s="117">
        <v>1053</v>
      </c>
      <c r="K10" s="117">
        <v>1095</v>
      </c>
      <c r="L10" s="117"/>
      <c r="M10" s="116"/>
      <c r="N10" s="36"/>
      <c r="P10" s="10"/>
      <c r="Q10" s="10"/>
      <c r="R10" s="10"/>
      <c r="S10" s="10"/>
      <c r="T10" s="10"/>
      <c r="U10" s="10"/>
      <c r="V10" s="10"/>
      <c r="W10" s="5"/>
    </row>
    <row r="11" spans="1:23" x14ac:dyDescent="0.2">
      <c r="A11" s="92"/>
      <c r="B11" s="37"/>
      <c r="C11" s="116">
        <v>2017</v>
      </c>
      <c r="D11" s="51" t="s">
        <v>123</v>
      </c>
      <c r="E11" s="51"/>
      <c r="F11" s="51"/>
      <c r="G11" s="51"/>
      <c r="H11" s="37"/>
      <c r="I11" s="116">
        <v>2017</v>
      </c>
      <c r="J11" s="117">
        <v>1085</v>
      </c>
      <c r="K11" s="117"/>
      <c r="L11" s="117"/>
      <c r="M11" s="116"/>
      <c r="N11" s="36"/>
      <c r="P11" s="186" t="s">
        <v>122</v>
      </c>
      <c r="Q11" s="186"/>
      <c r="R11" s="186"/>
      <c r="S11" s="186"/>
      <c r="T11" s="186"/>
      <c r="U11" s="114"/>
      <c r="V11" s="10"/>
      <c r="W11" s="5"/>
    </row>
    <row r="12" spans="1:23" x14ac:dyDescent="0.2">
      <c r="A12" s="92"/>
      <c r="B12" s="37"/>
      <c r="C12" s="37"/>
      <c r="D12" s="37"/>
      <c r="E12" s="37"/>
      <c r="F12" s="37"/>
      <c r="G12" s="37"/>
      <c r="H12" s="37"/>
      <c r="I12" s="37"/>
      <c r="J12" s="37"/>
      <c r="K12" s="37"/>
      <c r="L12" s="37"/>
      <c r="M12" s="37"/>
      <c r="N12" s="36"/>
      <c r="P12" s="24" t="s">
        <v>21</v>
      </c>
      <c r="Q12" s="114"/>
      <c r="R12" s="114"/>
      <c r="S12" s="114"/>
      <c r="T12" s="114"/>
      <c r="U12" s="9"/>
      <c r="V12" s="9"/>
      <c r="W12" s="5"/>
    </row>
    <row r="13" spans="1:23" ht="17" x14ac:dyDescent="0.2">
      <c r="A13" s="93"/>
      <c r="B13" s="40"/>
      <c r="C13" s="37"/>
      <c r="D13" s="37"/>
      <c r="E13" s="37"/>
      <c r="F13" s="37"/>
      <c r="G13" s="37"/>
      <c r="H13" s="37"/>
      <c r="I13" s="37"/>
      <c r="J13" s="37"/>
      <c r="K13" s="37"/>
      <c r="L13" s="37"/>
      <c r="M13" s="37"/>
      <c r="N13" s="36"/>
      <c r="P13" s="16" t="s">
        <v>17</v>
      </c>
      <c r="Q13" s="111">
        <v>12</v>
      </c>
      <c r="R13" s="111">
        <v>24</v>
      </c>
      <c r="S13" s="111">
        <v>36</v>
      </c>
      <c r="T13" s="111">
        <v>48</v>
      </c>
      <c r="U13" s="9"/>
      <c r="V13" s="9"/>
      <c r="W13" s="5"/>
    </row>
    <row r="14" spans="1:23" x14ac:dyDescent="0.2">
      <c r="A14" s="93"/>
      <c r="B14" s="40"/>
      <c r="C14" s="215" t="s">
        <v>87</v>
      </c>
      <c r="D14" s="184" t="s">
        <v>121</v>
      </c>
      <c r="E14" s="184"/>
      <c r="F14" s="184"/>
      <c r="G14" s="37"/>
      <c r="H14" s="37"/>
      <c r="I14" s="215" t="s">
        <v>87</v>
      </c>
      <c r="J14" s="214" t="s">
        <v>120</v>
      </c>
      <c r="K14" s="214"/>
      <c r="L14" s="214"/>
      <c r="M14" s="37"/>
      <c r="N14" s="36"/>
      <c r="P14" s="11">
        <f>C8</f>
        <v>2014</v>
      </c>
      <c r="Q14" s="9">
        <f>D8*1000/J8</f>
        <v>3193.6170212765956</v>
      </c>
      <c r="R14" s="9">
        <f>E8*1000/K8</f>
        <v>3676.9230769230771</v>
      </c>
      <c r="S14" s="9">
        <f>F8*1000/L8</f>
        <v>3935.7142857142858</v>
      </c>
      <c r="T14" s="9">
        <f>G8*1000/M8</f>
        <v>4102.0408163265311</v>
      </c>
      <c r="U14" s="9"/>
      <c r="V14" s="9"/>
      <c r="W14" s="9"/>
    </row>
    <row r="15" spans="1:23" x14ac:dyDescent="0.2">
      <c r="A15" s="93"/>
      <c r="B15" s="40"/>
      <c r="C15" s="215"/>
      <c r="D15" s="51" t="s">
        <v>113</v>
      </c>
      <c r="E15" s="51" t="s">
        <v>112</v>
      </c>
      <c r="F15" s="51" t="s">
        <v>111</v>
      </c>
      <c r="G15" s="37"/>
      <c r="H15" s="37"/>
      <c r="I15" s="215"/>
      <c r="J15" s="116" t="s">
        <v>113</v>
      </c>
      <c r="K15" s="116" t="s">
        <v>112</v>
      </c>
      <c r="L15" s="116" t="s">
        <v>111</v>
      </c>
      <c r="M15" s="37"/>
      <c r="N15" s="36"/>
      <c r="P15" s="11">
        <f>C9</f>
        <v>2015</v>
      </c>
      <c r="Q15" s="9">
        <f>D9*1000/J9</f>
        <v>3245.2830188679245</v>
      </c>
      <c r="R15" s="9">
        <f>E9*1000/K9</f>
        <v>3723.4814143245694</v>
      </c>
      <c r="S15" s="9">
        <f>F9*1000/L9</f>
        <v>4088.6075949367087</v>
      </c>
      <c r="T15" s="9"/>
      <c r="U15" s="9"/>
      <c r="V15" s="9"/>
      <c r="W15" s="9"/>
    </row>
    <row r="16" spans="1:23" x14ac:dyDescent="0.2">
      <c r="A16" s="93"/>
      <c r="B16" s="40"/>
      <c r="C16" s="51">
        <v>2014</v>
      </c>
      <c r="D16" s="52">
        <v>1.1942038640906063</v>
      </c>
      <c r="E16" s="52">
        <v>1.0758716875871688</v>
      </c>
      <c r="F16" s="52">
        <v>1.0422608244749805</v>
      </c>
      <c r="G16" s="37"/>
      <c r="H16" s="37"/>
      <c r="I16" s="116">
        <v>2014</v>
      </c>
      <c r="J16" s="115">
        <v>1.0372340425531914</v>
      </c>
      <c r="K16" s="115">
        <v>1.0051282051282051</v>
      </c>
      <c r="L16" s="115">
        <v>1</v>
      </c>
      <c r="M16" s="37"/>
      <c r="N16" s="36"/>
      <c r="P16" s="11">
        <f>C10</f>
        <v>2016</v>
      </c>
      <c r="Q16" s="9">
        <f>D10*1000/J10</f>
        <v>3254.510921177588</v>
      </c>
      <c r="R16" s="9">
        <f>E10*1000/K10</f>
        <v>3752.511415525114</v>
      </c>
      <c r="S16" s="9"/>
      <c r="T16" s="9"/>
      <c r="U16" s="9"/>
      <c r="V16" s="9"/>
      <c r="W16" s="9"/>
    </row>
    <row r="17" spans="1:23" ht="17" x14ac:dyDescent="0.2">
      <c r="A17" s="93"/>
      <c r="B17" s="40"/>
      <c r="C17" s="51">
        <v>2015</v>
      </c>
      <c r="D17" s="52">
        <v>1.1938953488372093</v>
      </c>
      <c r="E17" s="52">
        <v>1.1010469929388849</v>
      </c>
      <c r="F17" s="52"/>
      <c r="G17" s="37"/>
      <c r="H17" s="37"/>
      <c r="I17" s="116">
        <v>2015</v>
      </c>
      <c r="J17" s="115">
        <v>1.040566037735849</v>
      </c>
      <c r="K17" s="115">
        <v>1.0027198549410699</v>
      </c>
      <c r="L17" s="115"/>
      <c r="M17" s="37"/>
      <c r="N17" s="36"/>
      <c r="P17" s="11">
        <f>C11</f>
        <v>2017</v>
      </c>
      <c r="Q17" s="9" t="s">
        <v>119</v>
      </c>
      <c r="R17" s="9"/>
      <c r="S17" s="9"/>
      <c r="T17" s="9"/>
      <c r="U17" s="9"/>
      <c r="V17" s="9"/>
      <c r="W17" s="9"/>
    </row>
    <row r="18" spans="1:23" x14ac:dyDescent="0.2">
      <c r="A18" s="93"/>
      <c r="B18" s="40"/>
      <c r="C18" s="51">
        <v>2016</v>
      </c>
      <c r="D18" s="52">
        <v>1.1990078786110301</v>
      </c>
      <c r="E18" s="52"/>
      <c r="F18" s="52"/>
      <c r="G18" s="37"/>
      <c r="H18" s="37"/>
      <c r="I18" s="116">
        <v>2016</v>
      </c>
      <c r="J18" s="115">
        <v>1.0398860398860399</v>
      </c>
      <c r="K18" s="115"/>
      <c r="L18" s="115"/>
      <c r="M18" s="37"/>
      <c r="N18" s="36"/>
      <c r="P18" s="5"/>
      <c r="Q18" s="5"/>
      <c r="R18" s="5"/>
      <c r="S18" s="5"/>
      <c r="T18" s="5"/>
      <c r="U18" s="5"/>
      <c r="V18" s="5"/>
      <c r="W18" s="5"/>
    </row>
    <row r="19" spans="1:23" x14ac:dyDescent="0.2">
      <c r="A19" s="93"/>
      <c r="B19" s="40"/>
      <c r="C19" s="37"/>
      <c r="D19" s="37"/>
      <c r="E19" s="37"/>
      <c r="F19" s="37"/>
      <c r="G19" s="37"/>
      <c r="H19" s="37"/>
      <c r="I19" s="37"/>
      <c r="J19" s="37"/>
      <c r="K19" s="37"/>
      <c r="L19" s="37"/>
      <c r="M19" s="37"/>
      <c r="N19" s="36"/>
      <c r="P19" s="186" t="s">
        <v>118</v>
      </c>
      <c r="Q19" s="186"/>
      <c r="R19" s="186"/>
      <c r="S19" s="186"/>
      <c r="T19" s="186"/>
      <c r="U19" s="114"/>
      <c r="V19" s="5"/>
      <c r="W19" s="5"/>
    </row>
    <row r="20" spans="1:23" x14ac:dyDescent="0.2">
      <c r="A20" s="93"/>
      <c r="B20" s="40"/>
      <c r="C20" s="113">
        <v>0.05</v>
      </c>
      <c r="D20" s="37" t="s">
        <v>83</v>
      </c>
      <c r="E20" s="37"/>
      <c r="F20" s="37"/>
      <c r="G20" s="37"/>
      <c r="H20" s="37"/>
      <c r="I20" s="37"/>
      <c r="J20" s="37"/>
      <c r="K20" s="37"/>
      <c r="L20" s="37"/>
      <c r="M20" s="37"/>
      <c r="N20" s="36"/>
      <c r="P20" s="24" t="s">
        <v>21</v>
      </c>
      <c r="Q20" s="10"/>
      <c r="R20" s="10"/>
      <c r="S20" s="10"/>
      <c r="T20" s="10"/>
      <c r="U20" s="10"/>
      <c r="V20" s="5"/>
      <c r="W20" s="5"/>
    </row>
    <row r="21" spans="1:23" ht="17" x14ac:dyDescent="0.2">
      <c r="A21" s="93"/>
      <c r="B21" s="40"/>
      <c r="C21" s="113">
        <v>0.3</v>
      </c>
      <c r="D21" s="37" t="s">
        <v>117</v>
      </c>
      <c r="E21" s="37"/>
      <c r="F21" s="37"/>
      <c r="G21" s="37"/>
      <c r="H21" s="37"/>
      <c r="I21" s="37"/>
      <c r="J21" s="37"/>
      <c r="K21" s="37"/>
      <c r="L21" s="37"/>
      <c r="M21" s="37"/>
      <c r="N21" s="36"/>
      <c r="P21" s="16" t="s">
        <v>17</v>
      </c>
      <c r="Q21" s="112" t="s">
        <v>113</v>
      </c>
      <c r="R21" s="111" t="s">
        <v>112</v>
      </c>
      <c r="S21" s="111" t="s">
        <v>111</v>
      </c>
      <c r="T21" s="108"/>
      <c r="U21" s="108"/>
      <c r="V21" s="5"/>
      <c r="W21" s="5"/>
    </row>
    <row r="22" spans="1:23" x14ac:dyDescent="0.2">
      <c r="A22" s="93"/>
      <c r="B22" s="40"/>
      <c r="C22" s="37"/>
      <c r="D22" s="37"/>
      <c r="E22" s="37"/>
      <c r="F22" s="37"/>
      <c r="G22" s="37"/>
      <c r="H22" s="37"/>
      <c r="I22" s="37"/>
      <c r="J22" s="37"/>
      <c r="K22" s="37"/>
      <c r="L22" s="37"/>
      <c r="M22" s="37"/>
      <c r="N22" s="36"/>
      <c r="P22" s="11">
        <f>P14</f>
        <v>2014</v>
      </c>
      <c r="Q22" s="108">
        <f>R14/Q14</f>
        <v>1.1513350074309436</v>
      </c>
      <c r="R22" s="108">
        <f>S14/R14</f>
        <v>1.0703825463239689</v>
      </c>
      <c r="S22" s="108">
        <f>T14/S14</f>
        <v>1.0422608244749807</v>
      </c>
      <c r="T22" s="108"/>
      <c r="U22" s="108"/>
      <c r="V22" s="5"/>
      <c r="W22" s="5"/>
    </row>
    <row r="23" spans="1:23" x14ac:dyDescent="0.2">
      <c r="A23" s="92"/>
      <c r="B23" s="37"/>
      <c r="C23" s="37" t="s">
        <v>116</v>
      </c>
      <c r="D23" s="37"/>
      <c r="E23" s="37"/>
      <c r="F23" s="37"/>
      <c r="G23" s="37"/>
      <c r="H23" s="37"/>
      <c r="I23" s="37"/>
      <c r="J23" s="37"/>
      <c r="K23" s="37"/>
      <c r="L23" s="37"/>
      <c r="M23" s="37"/>
      <c r="N23" s="36"/>
      <c r="P23" s="11">
        <f>P15</f>
        <v>2015</v>
      </c>
      <c r="Q23" s="108">
        <f>R15/Q15</f>
        <v>1.1473518311581523</v>
      </c>
      <c r="R23" s="108">
        <f>S15/R15</f>
        <v>1.0980604278585804</v>
      </c>
      <c r="S23" s="108"/>
      <c r="T23" s="108"/>
      <c r="U23" s="108"/>
      <c r="V23" s="5"/>
      <c r="W23" s="5"/>
    </row>
    <row r="24" spans="1:23" x14ac:dyDescent="0.2">
      <c r="A24" s="92"/>
      <c r="B24" s="37"/>
      <c r="C24" s="91" t="s">
        <v>115</v>
      </c>
      <c r="D24" s="37"/>
      <c r="E24" s="37"/>
      <c r="F24" s="37"/>
      <c r="G24" s="37"/>
      <c r="H24" s="37"/>
      <c r="I24" s="37"/>
      <c r="J24" s="37"/>
      <c r="K24" s="37"/>
      <c r="L24" s="37"/>
      <c r="M24" s="37"/>
      <c r="N24" s="36"/>
      <c r="P24" s="11">
        <f>P16</f>
        <v>2016</v>
      </c>
      <c r="Q24" s="108">
        <f>R16/Q16</f>
        <v>1.1530185353218398</v>
      </c>
      <c r="R24" s="108"/>
      <c r="S24" s="108"/>
      <c r="T24" s="108"/>
      <c r="U24" s="108"/>
      <c r="V24" s="5"/>
      <c r="W24" s="10"/>
    </row>
    <row r="25" spans="1:23" x14ac:dyDescent="0.2">
      <c r="A25" s="92"/>
      <c r="B25" s="37"/>
      <c r="C25" s="91"/>
      <c r="D25" s="37"/>
      <c r="E25" s="37"/>
      <c r="F25" s="37"/>
      <c r="G25" s="37"/>
      <c r="H25" s="37"/>
      <c r="I25" s="37"/>
      <c r="J25" s="37"/>
      <c r="K25" s="37"/>
      <c r="L25" s="37"/>
      <c r="M25" s="37"/>
      <c r="N25" s="36"/>
      <c r="P25" s="10"/>
      <c r="Q25" s="10"/>
      <c r="R25" s="10"/>
      <c r="S25" s="10"/>
      <c r="T25" s="10"/>
      <c r="U25" s="10"/>
      <c r="V25" s="10"/>
      <c r="W25" s="10"/>
    </row>
    <row r="26" spans="1:23" ht="17" x14ac:dyDescent="0.2">
      <c r="A26" s="92"/>
      <c r="B26" s="37"/>
      <c r="C26" s="37" t="s">
        <v>114</v>
      </c>
      <c r="D26" s="37"/>
      <c r="E26" s="37"/>
      <c r="F26" s="37"/>
      <c r="G26" s="37"/>
      <c r="H26" s="37"/>
      <c r="I26" s="37"/>
      <c r="J26" s="37"/>
      <c r="K26" s="37"/>
      <c r="L26" s="37"/>
      <c r="M26" s="37"/>
      <c r="N26" s="36"/>
      <c r="P26" s="16"/>
      <c r="Q26" s="112" t="s">
        <v>113</v>
      </c>
      <c r="R26" s="111" t="s">
        <v>112</v>
      </c>
      <c r="S26" s="111" t="s">
        <v>111</v>
      </c>
      <c r="T26" s="111" t="s">
        <v>110</v>
      </c>
      <c r="U26" s="10"/>
      <c r="V26" s="10"/>
      <c r="W26" s="10"/>
    </row>
    <row r="27" spans="1:23" ht="17" thickBot="1" x14ac:dyDescent="0.25">
      <c r="A27" s="90"/>
      <c r="B27" s="88"/>
      <c r="C27" s="89"/>
      <c r="D27" s="88"/>
      <c r="E27" s="88"/>
      <c r="F27" s="88"/>
      <c r="G27" s="88"/>
      <c r="H27" s="88"/>
      <c r="I27" s="88"/>
      <c r="J27" s="88"/>
      <c r="K27" s="88"/>
      <c r="L27" s="88"/>
      <c r="M27" s="88"/>
      <c r="N27" s="87"/>
      <c r="P27" s="110" t="s">
        <v>109</v>
      </c>
      <c r="Q27" s="108">
        <f>AVERAGE(Q22:Q24)</f>
        <v>1.1505684579703119</v>
      </c>
      <c r="R27" s="108">
        <f>AVERAGE(R22:R24)</f>
        <v>1.0842214870912747</v>
      </c>
      <c r="S27" s="108">
        <f>AVERAGE(S22:S24)</f>
        <v>1.0422608244749807</v>
      </c>
      <c r="T27" s="108">
        <v>1</v>
      </c>
      <c r="U27" s="10"/>
      <c r="V27" s="10"/>
      <c r="W27" s="10"/>
    </row>
    <row r="28" spans="1:23" ht="17" thickBot="1" x14ac:dyDescent="0.25">
      <c r="A28" s="86" t="s">
        <v>32</v>
      </c>
      <c r="B28" s="33"/>
      <c r="C28" s="34"/>
      <c r="D28" s="33"/>
      <c r="E28" s="33"/>
      <c r="F28" s="33"/>
      <c r="G28" s="33"/>
      <c r="H28" s="33"/>
      <c r="I28" s="33"/>
      <c r="J28" s="33"/>
      <c r="K28" s="33"/>
      <c r="L28" s="33"/>
      <c r="M28" s="33"/>
      <c r="N28" s="32"/>
      <c r="P28" s="110" t="s">
        <v>104</v>
      </c>
      <c r="Q28" s="109">
        <f>Q27*R28</f>
        <v>1.3001901993501592</v>
      </c>
      <c r="R28" s="109">
        <f>R27*S28</f>
        <v>1.1300415810492417</v>
      </c>
      <c r="S28" s="109">
        <f>S27*T28</f>
        <v>1.0422608244749807</v>
      </c>
      <c r="T28" s="109">
        <f>T27</f>
        <v>1</v>
      </c>
      <c r="U28" s="10"/>
      <c r="V28" s="10"/>
      <c r="W28" s="10"/>
    </row>
    <row r="29" spans="1:23" x14ac:dyDescent="0.2">
      <c r="P29" s="5"/>
      <c r="Q29" s="5"/>
      <c r="R29" s="5"/>
      <c r="S29" s="5"/>
      <c r="T29" s="5"/>
      <c r="U29" s="5"/>
      <c r="V29" s="5"/>
      <c r="W29" s="10"/>
    </row>
    <row r="30" spans="1:23" x14ac:dyDescent="0.2">
      <c r="P30" s="5" t="s">
        <v>108</v>
      </c>
      <c r="Q30" s="5"/>
      <c r="R30" s="5"/>
      <c r="S30" s="5"/>
      <c r="T30" s="5"/>
      <c r="U30" s="5"/>
      <c r="V30" s="5"/>
      <c r="W30" s="10"/>
    </row>
    <row r="31" spans="1:23" x14ac:dyDescent="0.2">
      <c r="P31" s="5"/>
      <c r="Q31" s="5"/>
      <c r="R31" s="5"/>
      <c r="S31" s="5"/>
      <c r="T31" s="5"/>
      <c r="U31" s="5"/>
      <c r="V31" s="5"/>
      <c r="W31" s="10"/>
    </row>
    <row r="32" spans="1:23" x14ac:dyDescent="0.2">
      <c r="P32" s="24" t="s">
        <v>21</v>
      </c>
      <c r="Q32" s="23" t="s">
        <v>107</v>
      </c>
      <c r="R32" s="5"/>
      <c r="S32" s="23" t="s">
        <v>30</v>
      </c>
      <c r="T32" s="23" t="s">
        <v>30</v>
      </c>
      <c r="U32" s="24" t="s">
        <v>106</v>
      </c>
      <c r="V32" s="23" t="s">
        <v>105</v>
      </c>
      <c r="W32" s="10"/>
    </row>
    <row r="33" spans="16:23" ht="17" x14ac:dyDescent="0.2">
      <c r="P33" s="16" t="s">
        <v>17</v>
      </c>
      <c r="Q33" s="21" t="s">
        <v>14</v>
      </c>
      <c r="R33" s="21" t="s">
        <v>104</v>
      </c>
      <c r="S33" s="21" t="s">
        <v>103</v>
      </c>
      <c r="T33" s="21" t="s">
        <v>26</v>
      </c>
      <c r="U33" s="16" t="s">
        <v>26</v>
      </c>
      <c r="V33" s="21" t="s">
        <v>14</v>
      </c>
      <c r="W33" s="10"/>
    </row>
    <row r="34" spans="16:23" x14ac:dyDescent="0.2">
      <c r="P34" s="11">
        <f>P22</f>
        <v>2014</v>
      </c>
      <c r="Q34" s="9">
        <f>T14</f>
        <v>4102.0408163265311</v>
      </c>
      <c r="R34" s="108">
        <f>S28</f>
        <v>1.0422608244749807</v>
      </c>
      <c r="S34" s="29">
        <v>3</v>
      </c>
      <c r="T34" s="28">
        <f>(1+$C$20)^S34</f>
        <v>1.1576250000000001</v>
      </c>
      <c r="U34" s="107">
        <f>1-$C$21</f>
        <v>0.7</v>
      </c>
      <c r="V34" s="9">
        <f>Q34*R34*T34*U34</f>
        <v>3464.5140653357548</v>
      </c>
      <c r="W34" s="10"/>
    </row>
    <row r="35" spans="16:23" x14ac:dyDescent="0.2">
      <c r="P35" s="11">
        <f>P23</f>
        <v>2015</v>
      </c>
      <c r="Q35" s="9">
        <f>S15</f>
        <v>4088.6075949367087</v>
      </c>
      <c r="R35" s="108">
        <f>R28</f>
        <v>1.1300415810492417</v>
      </c>
      <c r="S35" s="29">
        <v>2</v>
      </c>
      <c r="T35" s="28">
        <f>(1+$C$20)^S35</f>
        <v>1.1025</v>
      </c>
      <c r="U35" s="107">
        <f>1-$C$21</f>
        <v>0.7</v>
      </c>
      <c r="V35" s="9">
        <f>Q35*R35*T35*U35</f>
        <v>3565.713894005632</v>
      </c>
      <c r="W35" s="10"/>
    </row>
    <row r="36" spans="16:23" x14ac:dyDescent="0.2">
      <c r="P36" s="11">
        <f>P24</f>
        <v>2016</v>
      </c>
      <c r="Q36" s="9">
        <f>R16</f>
        <v>3752.511415525114</v>
      </c>
      <c r="R36" s="108">
        <f>Q28</f>
        <v>1.3001901993501592</v>
      </c>
      <c r="S36" s="29">
        <v>1</v>
      </c>
      <c r="T36" s="28">
        <f>(1+$C$20)^S36</f>
        <v>1.05</v>
      </c>
      <c r="U36" s="107">
        <f>1-$C$21</f>
        <v>0.7</v>
      </c>
      <c r="V36" s="9">
        <f>Q36*R36*T36*U36</f>
        <v>3586.0492455802796</v>
      </c>
      <c r="W36" s="10"/>
    </row>
    <row r="37" spans="16:23" x14ac:dyDescent="0.2">
      <c r="P37" s="5"/>
      <c r="Q37" s="5"/>
      <c r="R37" s="5"/>
      <c r="S37" s="5"/>
      <c r="T37" s="5"/>
      <c r="U37" s="5"/>
      <c r="V37" s="5"/>
      <c r="W37" s="10"/>
    </row>
    <row r="38" spans="16:23" x14ac:dyDescent="0.2">
      <c r="P38" s="5"/>
      <c r="Q38" s="5"/>
      <c r="R38" s="5"/>
      <c r="S38" s="7" t="s">
        <v>102</v>
      </c>
      <c r="T38" s="64"/>
      <c r="U38" s="7"/>
      <c r="V38" s="106">
        <f>AVERAGE(V34:V36)</f>
        <v>3538.7590683072217</v>
      </c>
      <c r="W38" s="10"/>
    </row>
    <row r="39" spans="16:23" x14ac:dyDescent="0.2">
      <c r="P39" s="5"/>
      <c r="Q39" s="5"/>
      <c r="R39" s="5"/>
      <c r="S39" s="5"/>
      <c r="T39" s="5"/>
      <c r="U39" s="5"/>
      <c r="V39" s="5"/>
      <c r="W39" s="10"/>
    </row>
    <row r="40" spans="16:23" x14ac:dyDescent="0.2">
      <c r="P40" s="5" t="s">
        <v>101</v>
      </c>
      <c r="Q40" s="5"/>
      <c r="R40" s="5"/>
      <c r="S40" s="5"/>
      <c r="T40" s="5"/>
      <c r="U40" s="5"/>
      <c r="V40" s="5"/>
      <c r="W40" s="10"/>
    </row>
    <row r="41" spans="16:23" x14ac:dyDescent="0.2">
      <c r="P41" s="5"/>
      <c r="Q41" s="5"/>
      <c r="R41" s="5"/>
      <c r="S41" s="5"/>
      <c r="T41" s="5"/>
      <c r="U41" s="5"/>
      <c r="V41" s="5"/>
      <c r="W41" s="5"/>
    </row>
    <row r="42" spans="16:23" x14ac:dyDescent="0.2">
      <c r="P42" s="5" t="s">
        <v>100</v>
      </c>
      <c r="Q42" s="5"/>
      <c r="R42" s="5"/>
      <c r="S42" s="5"/>
      <c r="T42" s="5"/>
      <c r="U42" s="5"/>
      <c r="V42" s="5"/>
      <c r="W42" s="5"/>
    </row>
    <row r="43" spans="16:23" x14ac:dyDescent="0.2">
      <c r="P43" s="5"/>
      <c r="Q43" s="5"/>
      <c r="R43" s="5"/>
      <c r="S43" s="5"/>
      <c r="T43" s="5"/>
      <c r="U43" s="5"/>
      <c r="V43" s="5"/>
      <c r="W43" s="5"/>
    </row>
    <row r="44" spans="16:23" x14ac:dyDescent="0.2">
      <c r="P44" s="5" t="s">
        <v>99</v>
      </c>
      <c r="Q44" s="5"/>
      <c r="R44" s="25">
        <f>J11*Q9</f>
        <v>1131.9877384506344</v>
      </c>
      <c r="S44" s="5"/>
      <c r="T44" s="5"/>
      <c r="U44" s="5"/>
      <c r="V44" s="5"/>
      <c r="W44" s="5"/>
    </row>
    <row r="45" spans="16:23" ht="17" thickBot="1" x14ac:dyDescent="0.25">
      <c r="P45" s="5" t="s">
        <v>98</v>
      </c>
      <c r="Q45" s="5"/>
      <c r="R45" s="25">
        <f>V38</f>
        <v>3538.7590683072217</v>
      </c>
      <c r="S45" s="5"/>
      <c r="T45" s="5"/>
      <c r="U45" s="5"/>
      <c r="V45" s="5"/>
      <c r="W45" s="5"/>
    </row>
    <row r="46" spans="16:23" ht="17" thickBot="1" x14ac:dyDescent="0.25">
      <c r="P46" s="105" t="s">
        <v>97</v>
      </c>
      <c r="Q46" s="104"/>
      <c r="R46" s="103">
        <f>R44*R45</f>
        <v>4005831.8746547662</v>
      </c>
      <c r="S46" s="5"/>
      <c r="T46" s="5"/>
      <c r="U46" s="5"/>
      <c r="V46" s="5"/>
      <c r="W46" s="5"/>
    </row>
    <row r="47" spans="16:23" x14ac:dyDescent="0.2">
      <c r="P47" s="5"/>
      <c r="Q47" s="5"/>
      <c r="R47" s="5"/>
      <c r="S47" s="5"/>
      <c r="T47" s="5"/>
      <c r="U47" s="5"/>
      <c r="V47" s="5"/>
      <c r="W47" s="5"/>
    </row>
    <row r="50" spans="16:23" ht="19" x14ac:dyDescent="0.25">
      <c r="P50" s="101" t="s">
        <v>3</v>
      </c>
    </row>
    <row r="51" spans="16:23" x14ac:dyDescent="0.2">
      <c r="P51" s="193" t="s">
        <v>96</v>
      </c>
      <c r="Q51" s="193"/>
      <c r="R51" s="193"/>
      <c r="S51" s="193"/>
      <c r="T51" s="193"/>
      <c r="U51" s="193"/>
      <c r="V51" s="193"/>
      <c r="W51" s="193"/>
    </row>
    <row r="52" spans="16:23" x14ac:dyDescent="0.2">
      <c r="P52" s="193"/>
      <c r="Q52" s="193"/>
      <c r="R52" s="193"/>
      <c r="S52" s="193"/>
      <c r="T52" s="193"/>
      <c r="U52" s="193"/>
      <c r="V52" s="193"/>
      <c r="W52" s="193"/>
    </row>
    <row r="53" spans="16:23" x14ac:dyDescent="0.2">
      <c r="P53" s="193"/>
      <c r="Q53" s="193"/>
      <c r="R53" s="193"/>
      <c r="S53" s="193"/>
      <c r="T53" s="193"/>
      <c r="U53" s="193"/>
      <c r="V53" s="193"/>
      <c r="W53" s="193"/>
    </row>
    <row r="55" spans="16:23" ht="19" x14ac:dyDescent="0.25">
      <c r="P55" s="101" t="s">
        <v>1</v>
      </c>
    </row>
    <row r="56" spans="16:23" x14ac:dyDescent="0.2">
      <c r="P56" s="5" t="s">
        <v>95</v>
      </c>
    </row>
  </sheetData>
  <mergeCells count="12">
    <mergeCell ref="P51:W53"/>
    <mergeCell ref="C6:C7"/>
    <mergeCell ref="D6:G6"/>
    <mergeCell ref="I6:I7"/>
    <mergeCell ref="J6:M6"/>
    <mergeCell ref="C14:C15"/>
    <mergeCell ref="D14:F14"/>
    <mergeCell ref="J14:L14"/>
    <mergeCell ref="I14:I15"/>
    <mergeCell ref="P6:T6"/>
    <mergeCell ref="P11:T11"/>
    <mergeCell ref="P19:T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F3EF8-2D48-CF4D-87CD-8C777C0063C5}">
  <dimension ref="A1:X53"/>
  <sheetViews>
    <sheetView workbookViewId="0">
      <selection activeCell="B1" sqref="B1"/>
    </sheetView>
  </sheetViews>
  <sheetFormatPr baseColWidth="10" defaultColWidth="10.6640625" defaultRowHeight="16" outlineLevelCol="1" x14ac:dyDescent="0.2"/>
  <cols>
    <col min="1" max="1" width="4" style="1" customWidth="1"/>
    <col min="2" max="2" width="11.5" style="1" customWidth="1"/>
    <col min="3" max="3" width="10.6640625" style="1"/>
    <col min="4" max="4" width="11.6640625" style="1" customWidth="1"/>
    <col min="5" max="7" width="10.6640625" style="1"/>
    <col min="8" max="8" width="4.6640625" style="1" customWidth="1"/>
    <col min="9" max="15" width="10.6640625" style="1"/>
    <col min="16" max="23" width="10.83203125" style="1" hidden="1" customWidth="1" outlineLevel="1"/>
    <col min="24" max="24" width="10.6640625" style="1" collapsed="1"/>
    <col min="25" max="16384" width="10.6640625" style="1"/>
  </cols>
  <sheetData>
    <row r="1" spans="1:22" x14ac:dyDescent="0.2">
      <c r="A1" s="100"/>
      <c r="B1" s="70" t="s">
        <v>70</v>
      </c>
      <c r="C1" s="69" t="s">
        <v>94</v>
      </c>
      <c r="D1" s="69" t="s">
        <v>68</v>
      </c>
      <c r="E1" s="69" t="s">
        <v>67</v>
      </c>
      <c r="F1" s="68"/>
      <c r="G1" s="68"/>
      <c r="H1" s="68"/>
      <c r="I1" s="68"/>
      <c r="J1" s="68"/>
      <c r="K1" s="68"/>
      <c r="L1" s="68"/>
      <c r="M1" s="68"/>
      <c r="N1" s="67"/>
      <c r="O1" s="64" t="s">
        <v>66</v>
      </c>
      <c r="P1" s="64"/>
      <c r="Q1" s="64"/>
    </row>
    <row r="2" spans="1:22" x14ac:dyDescent="0.2">
      <c r="A2" s="92"/>
      <c r="B2" s="66" t="s">
        <v>65</v>
      </c>
      <c r="C2" s="65">
        <v>2</v>
      </c>
      <c r="D2" s="37"/>
      <c r="E2" s="37"/>
      <c r="F2" s="37"/>
      <c r="G2" s="37"/>
      <c r="H2" s="37"/>
      <c r="I2" s="37"/>
      <c r="J2" s="37"/>
      <c r="K2" s="37"/>
      <c r="L2" s="37"/>
      <c r="M2" s="37"/>
      <c r="N2" s="36"/>
      <c r="P2" s="203" t="s">
        <v>93</v>
      </c>
      <c r="Q2" s="203"/>
      <c r="R2" s="203"/>
      <c r="S2" s="203"/>
      <c r="T2" s="203"/>
      <c r="U2" s="203"/>
      <c r="V2" s="203"/>
    </row>
    <row r="3" spans="1:22" x14ac:dyDescent="0.2">
      <c r="A3" s="92"/>
      <c r="B3" s="37"/>
      <c r="C3" s="37"/>
      <c r="D3" s="37"/>
      <c r="E3" s="37"/>
      <c r="F3" s="37"/>
      <c r="G3" s="37"/>
      <c r="H3" s="37"/>
      <c r="I3" s="37"/>
      <c r="J3" s="37"/>
      <c r="K3" s="37"/>
      <c r="L3" s="37"/>
      <c r="M3" s="37"/>
      <c r="N3" s="36"/>
      <c r="P3" s="203"/>
      <c r="Q3" s="203"/>
      <c r="R3" s="203"/>
      <c r="S3" s="203"/>
      <c r="T3" s="203"/>
      <c r="U3" s="203"/>
      <c r="V3" s="203"/>
    </row>
    <row r="4" spans="1:22" x14ac:dyDescent="0.2">
      <c r="A4" s="92"/>
      <c r="B4" s="37"/>
      <c r="C4" s="37" t="s">
        <v>92</v>
      </c>
      <c r="D4" s="37"/>
      <c r="E4" s="37"/>
      <c r="F4" s="37"/>
      <c r="G4" s="37"/>
      <c r="H4" s="37"/>
      <c r="I4" s="37"/>
      <c r="J4" s="37"/>
      <c r="K4" s="37"/>
      <c r="L4" s="37"/>
      <c r="M4" s="37"/>
      <c r="N4" s="36"/>
      <c r="R4" s="98"/>
    </row>
    <row r="5" spans="1:22" x14ac:dyDescent="0.2">
      <c r="A5" s="92"/>
      <c r="B5" s="37"/>
      <c r="C5" s="37"/>
      <c r="D5" s="37"/>
      <c r="E5" s="37"/>
      <c r="F5" s="37"/>
      <c r="G5" s="37"/>
      <c r="H5" s="37"/>
      <c r="I5" s="37"/>
      <c r="J5" s="37"/>
      <c r="K5" s="37"/>
      <c r="L5" s="37"/>
      <c r="M5" s="37"/>
      <c r="N5" s="36"/>
      <c r="P5" s="64" t="s">
        <v>91</v>
      </c>
      <c r="R5" s="98"/>
    </row>
    <row r="6" spans="1:22" x14ac:dyDescent="0.2">
      <c r="A6" s="92"/>
      <c r="B6" s="37"/>
      <c r="C6" s="215" t="s">
        <v>87</v>
      </c>
      <c r="D6" s="184" t="s">
        <v>90</v>
      </c>
      <c r="E6" s="184"/>
      <c r="F6" s="184"/>
      <c r="G6" s="184"/>
      <c r="H6" s="37"/>
      <c r="I6" s="215" t="s">
        <v>87</v>
      </c>
      <c r="J6" s="184" t="s">
        <v>89</v>
      </c>
      <c r="K6" s="184"/>
      <c r="L6" s="184"/>
      <c r="M6" s="184"/>
      <c r="N6" s="36"/>
      <c r="R6" s="98"/>
    </row>
    <row r="7" spans="1:22" ht="17" x14ac:dyDescent="0.2">
      <c r="A7" s="92"/>
      <c r="B7" s="37"/>
      <c r="C7" s="215"/>
      <c r="D7" s="51">
        <v>12</v>
      </c>
      <c r="E7" s="51">
        <v>24</v>
      </c>
      <c r="F7" s="51">
        <v>36</v>
      </c>
      <c r="G7" s="51">
        <v>48</v>
      </c>
      <c r="H7" s="37"/>
      <c r="I7" s="215"/>
      <c r="J7" s="51">
        <v>12</v>
      </c>
      <c r="K7" s="51">
        <v>24</v>
      </c>
      <c r="L7" s="51">
        <v>36</v>
      </c>
      <c r="M7" s="51">
        <v>48</v>
      </c>
      <c r="N7" s="36"/>
      <c r="P7" s="82" t="s">
        <v>21</v>
      </c>
      <c r="Q7" s="185" t="s">
        <v>88</v>
      </c>
      <c r="R7" s="186"/>
      <c r="S7" s="186"/>
      <c r="T7" s="186"/>
      <c r="U7" s="5"/>
      <c r="V7" s="5"/>
    </row>
    <row r="8" spans="1:22" ht="17" x14ac:dyDescent="0.2">
      <c r="A8" s="92"/>
      <c r="B8" s="37"/>
      <c r="C8" s="51">
        <v>2014</v>
      </c>
      <c r="D8" s="51">
        <v>170</v>
      </c>
      <c r="E8" s="51">
        <v>184</v>
      </c>
      <c r="F8" s="51">
        <v>190</v>
      </c>
      <c r="G8" s="51">
        <v>196</v>
      </c>
      <c r="H8" s="37"/>
      <c r="I8" s="51">
        <v>2014</v>
      </c>
      <c r="J8" s="50">
        <v>7500</v>
      </c>
      <c r="K8" s="50">
        <v>12800</v>
      </c>
      <c r="L8" s="50">
        <v>18000</v>
      </c>
      <c r="M8" s="50">
        <v>25000</v>
      </c>
      <c r="N8" s="36"/>
      <c r="P8" s="80" t="s">
        <v>17</v>
      </c>
      <c r="Q8" s="78">
        <v>12</v>
      </c>
      <c r="R8" s="78">
        <v>24</v>
      </c>
      <c r="S8" s="78">
        <v>36</v>
      </c>
      <c r="T8" s="78">
        <v>48</v>
      </c>
      <c r="U8" s="5"/>
      <c r="V8" s="5"/>
    </row>
    <row r="9" spans="1:22" x14ac:dyDescent="0.2">
      <c r="A9" s="92"/>
      <c r="B9" s="37"/>
      <c r="C9" s="51">
        <v>2015</v>
      </c>
      <c r="D9" s="51">
        <v>175</v>
      </c>
      <c r="E9" s="51">
        <v>186</v>
      </c>
      <c r="F9" s="51">
        <v>194</v>
      </c>
      <c r="G9" s="51"/>
      <c r="H9" s="37"/>
      <c r="I9" s="51">
        <v>2015</v>
      </c>
      <c r="J9" s="50">
        <v>7250</v>
      </c>
      <c r="K9" s="50">
        <v>13000</v>
      </c>
      <c r="L9" s="50">
        <v>18500</v>
      </c>
      <c r="M9" s="50"/>
      <c r="N9" s="36"/>
      <c r="P9" s="76">
        <f>C8</f>
        <v>2014</v>
      </c>
      <c r="Q9" s="97">
        <f>D8/$D15</f>
        <v>0.86734693877551017</v>
      </c>
      <c r="R9" s="97">
        <f>E8/$D15</f>
        <v>0.93877551020408168</v>
      </c>
      <c r="S9" s="97">
        <f>F8/$D15</f>
        <v>0.96938775510204078</v>
      </c>
      <c r="T9" s="97">
        <f>G8/$D15</f>
        <v>1</v>
      </c>
      <c r="U9" s="5"/>
      <c r="V9" s="5"/>
    </row>
    <row r="10" spans="1:22" x14ac:dyDescent="0.2">
      <c r="A10" s="92"/>
      <c r="B10" s="37"/>
      <c r="C10" s="51">
        <v>2016</v>
      </c>
      <c r="D10" s="51">
        <v>178</v>
      </c>
      <c r="E10" s="51">
        <v>190</v>
      </c>
      <c r="F10" s="51"/>
      <c r="G10" s="51"/>
      <c r="H10" s="37"/>
      <c r="I10" s="51">
        <v>2016</v>
      </c>
      <c r="J10" s="50">
        <v>7700</v>
      </c>
      <c r="K10" s="50">
        <v>13450</v>
      </c>
      <c r="L10" s="50"/>
      <c r="M10" s="50"/>
      <c r="N10" s="36"/>
      <c r="P10" s="76">
        <f>C9</f>
        <v>2015</v>
      </c>
      <c r="Q10" s="97">
        <f>D9/$D16</f>
        <v>0.89743589743589747</v>
      </c>
      <c r="R10" s="97">
        <f>E9/$D16</f>
        <v>0.9538461538461539</v>
      </c>
      <c r="S10" s="97">
        <f>F9/$D16</f>
        <v>0.99487179487179489</v>
      </c>
      <c r="T10" s="97"/>
      <c r="U10" s="5"/>
      <c r="V10" s="5"/>
    </row>
    <row r="11" spans="1:22" x14ac:dyDescent="0.2">
      <c r="A11" s="92"/>
      <c r="B11" s="37"/>
      <c r="C11" s="51">
        <v>2017</v>
      </c>
      <c r="D11" s="51">
        <v>185</v>
      </c>
      <c r="E11" s="51"/>
      <c r="F11" s="51"/>
      <c r="G11" s="51"/>
      <c r="H11" s="37"/>
      <c r="I11" s="51">
        <v>2017</v>
      </c>
      <c r="J11" s="50">
        <v>7950</v>
      </c>
      <c r="K11" s="50"/>
      <c r="L11" s="50"/>
      <c r="M11" s="50"/>
      <c r="N11" s="36"/>
      <c r="P11" s="76">
        <f>C10</f>
        <v>2016</v>
      </c>
      <c r="Q11" s="97">
        <f>D10/$D17</f>
        <v>0.89898989898989901</v>
      </c>
      <c r="R11" s="97">
        <f>E10/$D17</f>
        <v>0.95959595959595956</v>
      </c>
      <c r="S11" s="97"/>
      <c r="T11" s="97"/>
      <c r="U11" s="5"/>
      <c r="V11" s="5"/>
    </row>
    <row r="12" spans="1:22" x14ac:dyDescent="0.2">
      <c r="A12" s="92"/>
      <c r="B12" s="37"/>
      <c r="C12" s="37"/>
      <c r="D12" s="37"/>
      <c r="E12" s="37"/>
      <c r="F12" s="37"/>
      <c r="G12" s="37"/>
      <c r="H12" s="37"/>
      <c r="I12" s="37"/>
      <c r="J12" s="37"/>
      <c r="K12" s="37"/>
      <c r="L12" s="37"/>
      <c r="M12" s="37"/>
      <c r="N12" s="36"/>
      <c r="P12" s="76">
        <f>C11</f>
        <v>2017</v>
      </c>
      <c r="Q12" s="97">
        <f>D11/$D18</f>
        <v>0.92500000000000004</v>
      </c>
      <c r="R12" s="97"/>
      <c r="S12" s="97"/>
      <c r="T12" s="97"/>
      <c r="U12" s="5"/>
      <c r="V12" s="5"/>
    </row>
    <row r="13" spans="1:22" x14ac:dyDescent="0.2">
      <c r="A13" s="93"/>
      <c r="B13" s="40"/>
      <c r="C13" s="215" t="s">
        <v>87</v>
      </c>
      <c r="D13" s="216" t="s">
        <v>86</v>
      </c>
      <c r="E13" s="37"/>
      <c r="F13" s="37"/>
      <c r="G13" s="37"/>
      <c r="H13" s="37"/>
      <c r="I13" s="37"/>
      <c r="J13" s="37"/>
      <c r="K13" s="37"/>
      <c r="L13" s="37"/>
      <c r="M13" s="37"/>
      <c r="N13" s="36"/>
      <c r="P13" s="5"/>
      <c r="Q13" s="5"/>
      <c r="R13" s="5"/>
      <c r="S13" s="5"/>
      <c r="T13" s="5"/>
      <c r="U13" s="5"/>
      <c r="V13" s="5"/>
    </row>
    <row r="14" spans="1:22" x14ac:dyDescent="0.2">
      <c r="A14" s="93"/>
      <c r="B14" s="40"/>
      <c r="C14" s="215"/>
      <c r="D14" s="217"/>
      <c r="E14" s="37"/>
      <c r="F14" s="37"/>
      <c r="G14" s="37"/>
      <c r="H14" s="37"/>
      <c r="I14" s="37"/>
      <c r="J14" s="37"/>
      <c r="K14" s="37"/>
      <c r="L14" s="37"/>
      <c r="M14" s="37"/>
      <c r="N14" s="36"/>
      <c r="P14" s="80"/>
      <c r="Q14" s="78">
        <v>12</v>
      </c>
      <c r="R14" s="78">
        <v>24</v>
      </c>
      <c r="S14" s="78">
        <v>36</v>
      </c>
      <c r="T14" s="78">
        <v>48</v>
      </c>
      <c r="U14" s="26"/>
      <c r="V14" s="5"/>
    </row>
    <row r="15" spans="1:22" ht="17" x14ac:dyDescent="0.2">
      <c r="A15" s="93"/>
      <c r="B15" s="40"/>
      <c r="C15" s="51">
        <v>2014</v>
      </c>
      <c r="D15" s="51">
        <v>196</v>
      </c>
      <c r="E15" s="37"/>
      <c r="F15" s="37"/>
      <c r="G15" s="37"/>
      <c r="H15" s="37"/>
      <c r="I15" s="37"/>
      <c r="J15" s="37"/>
      <c r="K15" s="37"/>
      <c r="L15" s="37"/>
      <c r="M15" s="37"/>
      <c r="N15" s="36"/>
      <c r="P15" s="82" t="s">
        <v>77</v>
      </c>
      <c r="Q15" s="97">
        <f>AVERAGE(Q9:Q12)</f>
        <v>0.89719318380032664</v>
      </c>
      <c r="R15" s="97">
        <f>AVERAGE(R9:R12)</f>
        <v>0.95073920788206501</v>
      </c>
      <c r="S15" s="97">
        <f>AVERAGE(S9:S12)</f>
        <v>0.98212977498691778</v>
      </c>
      <c r="T15" s="97">
        <f>AVERAGE(T9:T12)</f>
        <v>1</v>
      </c>
      <c r="U15" s="26"/>
      <c r="V15" s="5"/>
    </row>
    <row r="16" spans="1:22" x14ac:dyDescent="0.2">
      <c r="A16" s="93"/>
      <c r="B16" s="40"/>
      <c r="C16" s="51">
        <v>2015</v>
      </c>
      <c r="D16" s="51">
        <v>195</v>
      </c>
      <c r="E16" s="37"/>
      <c r="F16" s="37"/>
      <c r="G16" s="37"/>
      <c r="H16" s="37"/>
      <c r="I16" s="37"/>
      <c r="J16" s="37"/>
      <c r="K16" s="37"/>
      <c r="L16" s="37"/>
      <c r="M16" s="37"/>
      <c r="N16" s="36"/>
      <c r="P16" s="5"/>
      <c r="Q16" s="5"/>
      <c r="R16" s="5"/>
      <c r="S16" s="5"/>
      <c r="T16" s="5"/>
      <c r="U16" s="5"/>
      <c r="V16" s="5"/>
    </row>
    <row r="17" spans="1:22" x14ac:dyDescent="0.2">
      <c r="A17" s="93"/>
      <c r="B17" s="40"/>
      <c r="C17" s="51">
        <v>2016</v>
      </c>
      <c r="D17" s="51">
        <v>198</v>
      </c>
      <c r="E17" s="37"/>
      <c r="F17" s="37"/>
      <c r="G17" s="37"/>
      <c r="H17" s="37"/>
      <c r="I17" s="37"/>
      <c r="J17" s="37"/>
      <c r="K17" s="37"/>
      <c r="L17" s="37"/>
      <c r="M17" s="37"/>
      <c r="N17" s="36"/>
      <c r="P17" s="5" t="s">
        <v>85</v>
      </c>
      <c r="Q17" s="5"/>
      <c r="R17" s="5"/>
      <c r="S17" s="5"/>
      <c r="T17" s="5"/>
      <c r="U17" s="5"/>
      <c r="V17" s="5"/>
    </row>
    <row r="18" spans="1:22" x14ac:dyDescent="0.2">
      <c r="A18" s="93"/>
      <c r="B18" s="40"/>
      <c r="C18" s="51">
        <v>2017</v>
      </c>
      <c r="D18" s="51">
        <v>200</v>
      </c>
      <c r="E18" s="37"/>
      <c r="F18" s="37"/>
      <c r="G18" s="37"/>
      <c r="H18" s="37"/>
      <c r="I18" s="37"/>
      <c r="J18" s="37"/>
      <c r="K18" s="37"/>
      <c r="L18" s="37"/>
      <c r="M18" s="37"/>
      <c r="N18" s="36"/>
      <c r="P18" s="5"/>
      <c r="Q18" s="5"/>
      <c r="R18" s="5"/>
      <c r="S18" s="5"/>
      <c r="T18" s="5"/>
      <c r="U18" s="5"/>
      <c r="V18" s="5"/>
    </row>
    <row r="19" spans="1:22" ht="17" x14ac:dyDescent="0.2">
      <c r="A19" s="93"/>
      <c r="B19" s="40"/>
      <c r="C19" s="37"/>
      <c r="D19" s="37"/>
      <c r="E19" s="37"/>
      <c r="F19" s="37"/>
      <c r="G19" s="37"/>
      <c r="H19" s="37"/>
      <c r="I19" s="37"/>
      <c r="J19" s="37"/>
      <c r="K19" s="37"/>
      <c r="L19" s="37"/>
      <c r="M19" s="37"/>
      <c r="N19" s="36"/>
      <c r="P19" s="82" t="s">
        <v>21</v>
      </c>
      <c r="Q19" s="190" t="s">
        <v>84</v>
      </c>
      <c r="R19" s="191"/>
      <c r="S19" s="191"/>
      <c r="T19" s="191"/>
      <c r="U19" s="96"/>
      <c r="V19" s="5"/>
    </row>
    <row r="20" spans="1:22" ht="17" x14ac:dyDescent="0.2">
      <c r="A20" s="93"/>
      <c r="B20" s="40"/>
      <c r="C20" s="95">
        <v>0.03</v>
      </c>
      <c r="D20" s="218" t="s">
        <v>83</v>
      </c>
      <c r="E20" s="219"/>
      <c r="F20" s="37"/>
      <c r="G20" s="37"/>
      <c r="H20" s="37"/>
      <c r="I20" s="37"/>
      <c r="J20" s="37"/>
      <c r="K20" s="37"/>
      <c r="L20" s="37"/>
      <c r="M20" s="37"/>
      <c r="N20" s="36"/>
      <c r="P20" s="80" t="s">
        <v>17</v>
      </c>
      <c r="Q20" s="78">
        <v>12</v>
      </c>
      <c r="R20" s="78">
        <v>24</v>
      </c>
      <c r="S20" s="78">
        <v>36</v>
      </c>
      <c r="T20" s="78">
        <v>48</v>
      </c>
      <c r="U20" s="5"/>
      <c r="V20" s="5"/>
    </row>
    <row r="21" spans="1:22" x14ac:dyDescent="0.2">
      <c r="A21" s="93"/>
      <c r="B21" s="40"/>
      <c r="C21" s="37"/>
      <c r="D21" s="37"/>
      <c r="E21" s="37"/>
      <c r="F21" s="37"/>
      <c r="G21" s="37"/>
      <c r="H21" s="37"/>
      <c r="I21" s="37"/>
      <c r="J21" s="37"/>
      <c r="K21" s="37"/>
      <c r="L21" s="37"/>
      <c r="M21" s="37"/>
      <c r="N21" s="36"/>
      <c r="P21" s="76">
        <f>P12</f>
        <v>2017</v>
      </c>
      <c r="Q21" s="84">
        <f>D11</f>
        <v>185</v>
      </c>
      <c r="R21" s="94">
        <f>($D18-$D$11)/(1-$Q$15)*(R$15-Q$15)</f>
        <v>7.8126177904984804</v>
      </c>
      <c r="S21" s="94">
        <f>($D18-$D$11)/(1-$Q$15)*(S$15-R$15)</f>
        <v>4.5800319859947924</v>
      </c>
      <c r="T21" s="94">
        <f>($D18-$D$11)/(1-$Q$15)*(T$15-S$15)</f>
        <v>2.6073502235067263</v>
      </c>
      <c r="U21" s="5"/>
      <c r="V21" s="5"/>
    </row>
    <row r="22" spans="1:22" x14ac:dyDescent="0.2">
      <c r="A22" s="93"/>
      <c r="B22" s="40"/>
      <c r="C22" s="37" t="s">
        <v>82</v>
      </c>
      <c r="D22" s="37"/>
      <c r="E22" s="37"/>
      <c r="F22" s="37"/>
      <c r="G22" s="37"/>
      <c r="H22" s="37"/>
      <c r="I22" s="37"/>
      <c r="J22" s="37"/>
      <c r="K22" s="37"/>
      <c r="L22" s="37"/>
      <c r="M22" s="37"/>
      <c r="N22" s="36"/>
      <c r="P22" s="5"/>
      <c r="Q22" s="5"/>
      <c r="R22" s="5"/>
      <c r="S22" s="5"/>
      <c r="T22" s="5"/>
      <c r="U22" s="5"/>
      <c r="V22" s="5"/>
    </row>
    <row r="23" spans="1:22" x14ac:dyDescent="0.2">
      <c r="A23" s="92"/>
      <c r="B23" s="37"/>
      <c r="C23" s="37" t="s">
        <v>81</v>
      </c>
      <c r="D23" s="37"/>
      <c r="E23" s="37"/>
      <c r="F23" s="37"/>
      <c r="G23" s="37"/>
      <c r="H23" s="37"/>
      <c r="I23" s="37"/>
      <c r="J23" s="37"/>
      <c r="K23" s="37"/>
      <c r="L23" s="37"/>
      <c r="M23" s="37"/>
      <c r="N23" s="36"/>
      <c r="P23" s="64" t="s">
        <v>80</v>
      </c>
      <c r="Q23" s="5"/>
      <c r="R23" s="5"/>
      <c r="S23" s="5"/>
      <c r="T23" s="5"/>
      <c r="U23" s="5"/>
      <c r="V23" s="5"/>
    </row>
    <row r="24" spans="1:22" x14ac:dyDescent="0.2">
      <c r="A24" s="92"/>
      <c r="B24" s="37"/>
      <c r="C24" s="91"/>
      <c r="D24" s="37"/>
      <c r="E24" s="37"/>
      <c r="F24" s="37"/>
      <c r="G24" s="37"/>
      <c r="H24" s="37"/>
      <c r="I24" s="37"/>
      <c r="J24" s="37"/>
      <c r="K24" s="37"/>
      <c r="L24" s="37"/>
      <c r="M24" s="37"/>
      <c r="N24" s="36"/>
      <c r="P24" s="64"/>
      <c r="Q24" s="5"/>
      <c r="R24" s="5"/>
      <c r="S24" s="5"/>
      <c r="T24" s="5"/>
      <c r="U24" s="5"/>
      <c r="V24" s="5"/>
    </row>
    <row r="25" spans="1:22" ht="17" x14ac:dyDescent="0.2">
      <c r="A25" s="92"/>
      <c r="B25" s="37"/>
      <c r="C25" s="91" t="s">
        <v>79</v>
      </c>
      <c r="D25" s="37"/>
      <c r="E25" s="37"/>
      <c r="F25" s="37"/>
      <c r="G25" s="37"/>
      <c r="H25" s="37"/>
      <c r="I25" s="37"/>
      <c r="J25" s="37"/>
      <c r="K25" s="37"/>
      <c r="L25" s="37"/>
      <c r="M25" s="37"/>
      <c r="N25" s="36"/>
      <c r="P25" s="82" t="s">
        <v>21</v>
      </c>
      <c r="Q25" s="190" t="s">
        <v>78</v>
      </c>
      <c r="R25" s="191"/>
      <c r="S25" s="191"/>
      <c r="T25" s="191"/>
      <c r="U25" s="5"/>
      <c r="V25" s="5"/>
    </row>
    <row r="26" spans="1:22" ht="18" thickBot="1" x14ac:dyDescent="0.25">
      <c r="A26" s="90"/>
      <c r="B26" s="88"/>
      <c r="C26" s="89"/>
      <c r="D26" s="88"/>
      <c r="E26" s="88"/>
      <c r="F26" s="88"/>
      <c r="G26" s="88"/>
      <c r="H26" s="88"/>
      <c r="I26" s="88"/>
      <c r="J26" s="88"/>
      <c r="K26" s="88"/>
      <c r="L26" s="88"/>
      <c r="M26" s="88"/>
      <c r="N26" s="87"/>
      <c r="P26" s="80" t="s">
        <v>17</v>
      </c>
      <c r="Q26" s="78">
        <v>12</v>
      </c>
      <c r="R26" s="78">
        <v>24</v>
      </c>
      <c r="S26" s="78">
        <v>36</v>
      </c>
      <c r="T26" s="78">
        <v>48</v>
      </c>
      <c r="U26" s="5"/>
      <c r="V26" s="5"/>
    </row>
    <row r="27" spans="1:22" ht="17" thickBot="1" x14ac:dyDescent="0.25">
      <c r="A27" s="86" t="s">
        <v>32</v>
      </c>
      <c r="B27" s="33"/>
      <c r="C27" s="34"/>
      <c r="D27" s="33"/>
      <c r="E27" s="33"/>
      <c r="F27" s="33"/>
      <c r="G27" s="33"/>
      <c r="H27" s="33"/>
      <c r="I27" s="33"/>
      <c r="J27" s="33"/>
      <c r="K27" s="33"/>
      <c r="L27" s="33"/>
      <c r="M27" s="33"/>
      <c r="N27" s="32"/>
      <c r="P27" s="76">
        <f>P9</f>
        <v>2014</v>
      </c>
      <c r="Q27" s="85">
        <f>J8*(1+$C$20)^(2017-$P27)</f>
        <v>8195.4524999999994</v>
      </c>
      <c r="R27" s="85">
        <f>K8*(1+$C$20)^(2017-$P27)</f>
        <v>13986.9056</v>
      </c>
      <c r="S27" s="85">
        <f>L8*(1+$C$20)^(2017-$P27)</f>
        <v>19669.085999999999</v>
      </c>
      <c r="T27" s="85">
        <f>M8*(1+$C$20)^(2017-$P27)</f>
        <v>27318.174999999999</v>
      </c>
      <c r="U27" s="5"/>
      <c r="V27" s="5"/>
    </row>
    <row r="28" spans="1:22" x14ac:dyDescent="0.2">
      <c r="P28" s="76">
        <f>P10</f>
        <v>2015</v>
      </c>
      <c r="Q28" s="85">
        <f>J9*(1+$C$20)^(2017-$P28)</f>
        <v>7691.5249999999996</v>
      </c>
      <c r="R28" s="85">
        <f>K9*(1+$C$20)^(2017-$P28)</f>
        <v>13791.699999999999</v>
      </c>
      <c r="S28" s="85">
        <f>L9*(1+$C$20)^(2017-$P28)</f>
        <v>19626.649999999998</v>
      </c>
      <c r="T28" s="85"/>
      <c r="U28" s="5"/>
      <c r="V28" s="5"/>
    </row>
    <row r="29" spans="1:22" x14ac:dyDescent="0.2">
      <c r="P29" s="76">
        <f>P11</f>
        <v>2016</v>
      </c>
      <c r="Q29" s="85">
        <f>J10*(1+$C$20)^(2017-$P29)</f>
        <v>7931</v>
      </c>
      <c r="R29" s="85">
        <f>K10*(1+$C$20)^(2017-$P29)</f>
        <v>13853.5</v>
      </c>
      <c r="S29" s="85"/>
      <c r="T29" s="85"/>
      <c r="U29" s="5"/>
      <c r="V29" s="5"/>
    </row>
    <row r="30" spans="1:22" x14ac:dyDescent="0.2">
      <c r="P30" s="76">
        <f>P12</f>
        <v>2017</v>
      </c>
      <c r="Q30" s="85">
        <f>J11*(1+$C$20)^(2017-$P30)</f>
        <v>7950</v>
      </c>
      <c r="R30" s="85"/>
      <c r="S30" s="85"/>
      <c r="T30" s="85"/>
      <c r="U30" s="5"/>
      <c r="V30" s="5"/>
    </row>
    <row r="31" spans="1:22" x14ac:dyDescent="0.2">
      <c r="P31" s="5"/>
      <c r="Q31" s="5"/>
      <c r="R31" s="5"/>
      <c r="S31" s="5"/>
      <c r="T31" s="5"/>
      <c r="U31" s="5"/>
      <c r="V31" s="5"/>
    </row>
    <row r="32" spans="1:22" x14ac:dyDescent="0.2">
      <c r="P32" s="80"/>
      <c r="Q32" s="78">
        <v>12</v>
      </c>
      <c r="R32" s="78">
        <v>24</v>
      </c>
      <c r="S32" s="78">
        <v>36</v>
      </c>
      <c r="T32" s="78">
        <v>48</v>
      </c>
      <c r="U32" s="5"/>
      <c r="V32" s="5"/>
    </row>
    <row r="33" spans="16:22" ht="17" x14ac:dyDescent="0.2">
      <c r="P33" s="82" t="s">
        <v>77</v>
      </c>
      <c r="Q33" s="84">
        <f>AVERAGE(Q27:Q30)</f>
        <v>7941.9943750000002</v>
      </c>
      <c r="R33" s="84">
        <f>AVERAGE(R27:R30)</f>
        <v>13877.368533333332</v>
      </c>
      <c r="S33" s="84">
        <f>AVERAGE(S27:S30)</f>
        <v>19647.867999999999</v>
      </c>
      <c r="T33" s="84">
        <f>AVERAGE(T27:T30)</f>
        <v>27318.174999999999</v>
      </c>
      <c r="U33" s="5"/>
      <c r="V33" s="5"/>
    </row>
    <row r="34" spans="16:22" x14ac:dyDescent="0.2">
      <c r="P34" s="5"/>
      <c r="Q34" s="5"/>
      <c r="R34" s="5"/>
      <c r="S34" s="5"/>
      <c r="T34" s="5"/>
      <c r="U34" s="5"/>
      <c r="V34" s="5"/>
    </row>
    <row r="35" spans="16:22" x14ac:dyDescent="0.2">
      <c r="P35" s="5" t="s">
        <v>76</v>
      </c>
      <c r="Q35" s="5"/>
      <c r="R35" s="5"/>
      <c r="S35" s="5"/>
      <c r="T35" s="5"/>
      <c r="U35" s="5"/>
      <c r="V35" s="5"/>
    </row>
    <row r="36" spans="16:22" x14ac:dyDescent="0.2">
      <c r="P36" s="5"/>
      <c r="Q36" s="5"/>
      <c r="R36" s="5"/>
      <c r="S36" s="5"/>
      <c r="T36" s="5"/>
      <c r="U36" s="5"/>
      <c r="V36" s="5"/>
    </row>
    <row r="37" spans="16:22" ht="17" x14ac:dyDescent="0.2">
      <c r="P37" s="82" t="s">
        <v>21</v>
      </c>
      <c r="Q37" s="188" t="s">
        <v>75</v>
      </c>
      <c r="R37" s="189"/>
      <c r="S37" s="189"/>
      <c r="T37" s="189"/>
      <c r="U37" s="5"/>
      <c r="V37" s="5"/>
    </row>
    <row r="38" spans="16:22" ht="17" x14ac:dyDescent="0.2">
      <c r="P38" s="80" t="s">
        <v>17</v>
      </c>
      <c r="Q38" s="78">
        <v>12</v>
      </c>
      <c r="R38" s="78">
        <v>24</v>
      </c>
      <c r="S38" s="78">
        <v>36</v>
      </c>
      <c r="T38" s="78">
        <v>48</v>
      </c>
      <c r="U38" s="5"/>
      <c r="V38" s="5"/>
    </row>
    <row r="39" spans="16:22" x14ac:dyDescent="0.2">
      <c r="P39" s="76">
        <f>P12</f>
        <v>2017</v>
      </c>
      <c r="Q39" s="84">
        <f>J11</f>
        <v>7950</v>
      </c>
      <c r="R39" s="83">
        <f>R33</f>
        <v>13877.368533333332</v>
      </c>
      <c r="S39" s="83">
        <f>S33</f>
        <v>19647.867999999999</v>
      </c>
      <c r="T39" s="83">
        <f>T33</f>
        <v>27318.174999999999</v>
      </c>
      <c r="U39" s="5"/>
      <c r="V39" s="5"/>
    </row>
    <row r="40" spans="16:22" x14ac:dyDescent="0.2">
      <c r="P40" s="5"/>
      <c r="Q40" s="5"/>
      <c r="R40" s="5"/>
      <c r="S40" s="5"/>
      <c r="T40" s="5"/>
      <c r="U40" s="5"/>
      <c r="V40" s="5"/>
    </row>
    <row r="41" spans="16:22" ht="17" thickBot="1" x14ac:dyDescent="0.25">
      <c r="P41" s="5"/>
      <c r="Q41" s="5"/>
      <c r="R41" s="5"/>
      <c r="S41" s="5"/>
      <c r="T41" s="5"/>
      <c r="U41" s="5"/>
      <c r="V41" s="5"/>
    </row>
    <row r="42" spans="16:22" ht="17" x14ac:dyDescent="0.2">
      <c r="P42" s="82" t="s">
        <v>21</v>
      </c>
      <c r="Q42" s="188" t="s">
        <v>74</v>
      </c>
      <c r="R42" s="189"/>
      <c r="S42" s="189"/>
      <c r="T42" s="192"/>
      <c r="U42" s="81" t="s">
        <v>73</v>
      </c>
      <c r="V42" s="5"/>
    </row>
    <row r="43" spans="16:22" ht="17" x14ac:dyDescent="0.2">
      <c r="P43" s="80" t="s">
        <v>17</v>
      </c>
      <c r="Q43" s="79">
        <v>12</v>
      </c>
      <c r="R43" s="78">
        <v>24</v>
      </c>
      <c r="S43" s="78">
        <v>36</v>
      </c>
      <c r="T43" s="78">
        <v>48</v>
      </c>
      <c r="U43" s="77" t="s">
        <v>72</v>
      </c>
      <c r="V43" s="5"/>
    </row>
    <row r="44" spans="16:22" ht="17" thickBot="1" x14ac:dyDescent="0.25">
      <c r="P44" s="76">
        <f>P12</f>
        <v>2017</v>
      </c>
      <c r="Q44" s="75">
        <f>Q21*Q39</f>
        <v>1470750</v>
      </c>
      <c r="R44" s="74">
        <f>R21*R39</f>
        <v>108418.5762888238</v>
      </c>
      <c r="S44" s="74">
        <f>S21*S39</f>
        <v>89987.863896603521</v>
      </c>
      <c r="T44" s="74">
        <f>T21*T39</f>
        <v>71228.049692045854</v>
      </c>
      <c r="U44" s="73">
        <f>SUM(R44:T44)</f>
        <v>269634.48987747316</v>
      </c>
      <c r="V44" s="5"/>
    </row>
    <row r="45" spans="16:22" x14ac:dyDescent="0.2">
      <c r="V45" s="5"/>
    </row>
    <row r="46" spans="16:22" x14ac:dyDescent="0.2">
      <c r="V46" s="5"/>
    </row>
    <row r="47" spans="16:22" ht="19" x14ac:dyDescent="0.25">
      <c r="P47" s="72" t="s">
        <v>1</v>
      </c>
      <c r="V47" s="5"/>
    </row>
    <row r="48" spans="16:22" x14ac:dyDescent="0.2">
      <c r="P48" s="1" t="s">
        <v>71</v>
      </c>
      <c r="V48" s="5"/>
    </row>
    <row r="49" spans="22:22" x14ac:dyDescent="0.2">
      <c r="V49" s="5"/>
    </row>
    <row r="50" spans="22:22" x14ac:dyDescent="0.2">
      <c r="V50" s="5"/>
    </row>
    <row r="51" spans="22:22" x14ac:dyDescent="0.2">
      <c r="V51" s="5"/>
    </row>
    <row r="52" spans="22:22" x14ac:dyDescent="0.2">
      <c r="V52" s="5"/>
    </row>
    <row r="53" spans="22:22" x14ac:dyDescent="0.2">
      <c r="V53" s="5"/>
    </row>
  </sheetData>
  <mergeCells count="13">
    <mergeCell ref="P2:V3"/>
    <mergeCell ref="Q37:T37"/>
    <mergeCell ref="Q42:T42"/>
    <mergeCell ref="Q25:T25"/>
    <mergeCell ref="Q19:T19"/>
    <mergeCell ref="Q7:T7"/>
    <mergeCell ref="J6:M6"/>
    <mergeCell ref="D13:D14"/>
    <mergeCell ref="D20:E20"/>
    <mergeCell ref="C6:C7"/>
    <mergeCell ref="C13:C14"/>
    <mergeCell ref="I6:I7"/>
    <mergeCell ref="D6:G6"/>
  </mergeCells>
  <pageMargins left="0.7" right="0.7" top="0.75" bottom="0.75" header="0.3" footer="0.3"/>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2FFAA-7622-7549-AE7B-1A7AFDFA6691}">
  <dimension ref="A1:T61"/>
  <sheetViews>
    <sheetView workbookViewId="0">
      <selection activeCell="B1" sqref="B1"/>
    </sheetView>
  </sheetViews>
  <sheetFormatPr baseColWidth="10" defaultColWidth="11" defaultRowHeight="16" outlineLevelCol="1" x14ac:dyDescent="0.2"/>
  <cols>
    <col min="1" max="1" width="4" style="2" customWidth="1"/>
    <col min="2" max="2" width="11.5" style="1" customWidth="1"/>
    <col min="3" max="12" width="11" style="1"/>
    <col min="13" max="13" width="10.83203125" style="1" hidden="1" customWidth="1" outlineLevel="1"/>
    <col min="14" max="14" width="13.33203125" style="1" hidden="1" customWidth="1" outlineLevel="1"/>
    <col min="15" max="15" width="10.83203125" style="1" hidden="1" customWidth="1" outlineLevel="1"/>
    <col min="16" max="16" width="11.33203125" style="1" hidden="1" customWidth="1" outlineLevel="1"/>
    <col min="17" max="17" width="12" style="1" hidden="1" customWidth="1" outlineLevel="1"/>
    <col min="18" max="19" width="10.83203125" style="1" hidden="1" customWidth="1" outlineLevel="1"/>
    <col min="20" max="20" width="11" style="1" collapsed="1"/>
    <col min="21" max="16384" width="11" style="1"/>
  </cols>
  <sheetData>
    <row r="1" spans="1:20" x14ac:dyDescent="0.2">
      <c r="A1" s="71"/>
      <c r="B1" s="70" t="s">
        <v>70</v>
      </c>
      <c r="C1" s="69" t="s">
        <v>69</v>
      </c>
      <c r="D1" s="69" t="s">
        <v>68</v>
      </c>
      <c r="E1" s="69" t="s">
        <v>67</v>
      </c>
      <c r="F1" s="68"/>
      <c r="G1" s="68"/>
      <c r="H1" s="68"/>
      <c r="I1" s="68"/>
      <c r="J1" s="68"/>
      <c r="K1" s="67"/>
      <c r="L1" s="64" t="s">
        <v>66</v>
      </c>
    </row>
    <row r="2" spans="1:20" x14ac:dyDescent="0.2">
      <c r="A2" s="38"/>
      <c r="B2" s="66" t="s">
        <v>65</v>
      </c>
      <c r="C2" s="65">
        <v>3.5</v>
      </c>
      <c r="D2" s="37"/>
      <c r="E2" s="37"/>
      <c r="F2" s="37"/>
      <c r="G2" s="37"/>
      <c r="H2" s="37"/>
      <c r="I2" s="37"/>
      <c r="J2" s="37"/>
      <c r="K2" s="36"/>
    </row>
    <row r="3" spans="1:20" x14ac:dyDescent="0.2">
      <c r="A3" s="38"/>
      <c r="B3" s="37"/>
      <c r="C3" s="37"/>
      <c r="D3" s="37"/>
      <c r="E3" s="37"/>
      <c r="F3" s="37"/>
      <c r="G3" s="37"/>
      <c r="H3" s="37"/>
      <c r="I3" s="37"/>
      <c r="J3" s="37"/>
      <c r="K3" s="36"/>
      <c r="M3" s="64" t="s">
        <v>64</v>
      </c>
    </row>
    <row r="4" spans="1:20" x14ac:dyDescent="0.2">
      <c r="A4" s="38"/>
      <c r="B4" s="37"/>
      <c r="C4" s="37" t="s">
        <v>63</v>
      </c>
      <c r="D4" s="37"/>
      <c r="E4" s="37"/>
      <c r="F4" s="37"/>
      <c r="G4" s="37"/>
      <c r="H4" s="37"/>
      <c r="I4" s="37"/>
      <c r="J4" s="37"/>
      <c r="K4" s="36"/>
      <c r="M4" s="5" t="s">
        <v>62</v>
      </c>
      <c r="N4" s="5"/>
      <c r="O4" s="5"/>
      <c r="P4" s="5"/>
      <c r="Q4" s="5"/>
      <c r="R4" s="5"/>
      <c r="S4" s="5"/>
      <c r="T4" s="5"/>
    </row>
    <row r="5" spans="1:20" x14ac:dyDescent="0.2">
      <c r="A5" s="38"/>
      <c r="B5" s="37"/>
      <c r="C5" s="37"/>
      <c r="D5" s="37"/>
      <c r="E5" s="37"/>
      <c r="F5" s="37"/>
      <c r="G5" s="37"/>
      <c r="H5" s="37"/>
      <c r="I5" s="37"/>
      <c r="J5" s="37"/>
      <c r="K5" s="36"/>
      <c r="M5" s="5"/>
      <c r="N5" s="5"/>
      <c r="O5" s="5"/>
      <c r="P5" s="5"/>
      <c r="Q5" s="5"/>
      <c r="R5" s="5"/>
      <c r="S5" s="5"/>
      <c r="T5" s="5"/>
    </row>
    <row r="6" spans="1:20" x14ac:dyDescent="0.2">
      <c r="A6" s="38"/>
      <c r="B6" s="37"/>
      <c r="C6" s="63"/>
      <c r="D6" s="62" t="s">
        <v>20</v>
      </c>
      <c r="E6" s="61"/>
      <c r="F6" s="37"/>
      <c r="G6" s="37"/>
      <c r="H6" s="37"/>
      <c r="I6" s="37"/>
      <c r="J6" s="37"/>
      <c r="K6" s="36"/>
      <c r="M6" s="24" t="s">
        <v>21</v>
      </c>
      <c r="N6" s="31" t="s">
        <v>18</v>
      </c>
      <c r="O6" s="23" t="s">
        <v>31</v>
      </c>
      <c r="P6" s="24" t="s">
        <v>30</v>
      </c>
      <c r="Q6" s="23" t="s">
        <v>61</v>
      </c>
      <c r="R6" s="5"/>
      <c r="S6" s="5"/>
      <c r="T6" s="5"/>
    </row>
    <row r="7" spans="1:20" ht="17" x14ac:dyDescent="0.2">
      <c r="A7" s="38"/>
      <c r="B7" s="37"/>
      <c r="C7" s="59" t="s">
        <v>60</v>
      </c>
      <c r="D7" s="58" t="s">
        <v>49</v>
      </c>
      <c r="E7" s="57" t="s">
        <v>51</v>
      </c>
      <c r="F7" s="37"/>
      <c r="G7" s="37"/>
      <c r="H7" s="37"/>
      <c r="I7" s="37"/>
      <c r="J7" s="37"/>
      <c r="K7" s="36"/>
      <c r="M7" s="16" t="s">
        <v>17</v>
      </c>
      <c r="N7" s="21" t="s">
        <v>59</v>
      </c>
      <c r="O7" s="21" t="s">
        <v>27</v>
      </c>
      <c r="P7" s="16" t="s">
        <v>26</v>
      </c>
      <c r="Q7" s="21" t="s">
        <v>58</v>
      </c>
      <c r="R7" s="5"/>
      <c r="S7" s="5"/>
      <c r="T7" s="5"/>
    </row>
    <row r="8" spans="1:20" ht="15.75" customHeight="1" x14ac:dyDescent="0.2">
      <c r="A8" s="38"/>
      <c r="B8" s="37"/>
      <c r="C8" s="55" t="s">
        <v>17</v>
      </c>
      <c r="D8" s="42" t="s">
        <v>57</v>
      </c>
      <c r="E8" s="54" t="s">
        <v>50</v>
      </c>
      <c r="F8" s="37"/>
      <c r="G8" s="63"/>
      <c r="H8" s="62" t="s">
        <v>56</v>
      </c>
      <c r="I8" s="61"/>
      <c r="J8" s="40"/>
      <c r="K8" s="36"/>
      <c r="M8" s="11">
        <f>G11</f>
        <v>2014</v>
      </c>
      <c r="N8" s="9">
        <f>H11</f>
        <v>2200</v>
      </c>
      <c r="O8" s="29">
        <f>2017-M8</f>
        <v>3</v>
      </c>
      <c r="P8" s="56">
        <f>(1+$C$14)^O8</f>
        <v>0.96150480299999996</v>
      </c>
      <c r="Q8" s="9">
        <f>N8*P8</f>
        <v>2115.3105666000001</v>
      </c>
      <c r="R8" s="5"/>
      <c r="S8" s="5"/>
      <c r="T8" s="5"/>
    </row>
    <row r="9" spans="1:20" x14ac:dyDescent="0.2">
      <c r="A9" s="38"/>
      <c r="B9" s="37"/>
      <c r="C9" s="42">
        <v>2014</v>
      </c>
      <c r="D9" s="53">
        <v>127500</v>
      </c>
      <c r="E9" s="60">
        <v>0.71</v>
      </c>
      <c r="F9" s="37"/>
      <c r="G9" s="59" t="s">
        <v>55</v>
      </c>
      <c r="H9" s="58" t="s">
        <v>54</v>
      </c>
      <c r="I9" s="57" t="s">
        <v>18</v>
      </c>
      <c r="J9" s="40"/>
      <c r="K9" s="36"/>
      <c r="M9" s="11">
        <f>G12</f>
        <v>2015</v>
      </c>
      <c r="N9" s="9">
        <f>H12</f>
        <v>1970</v>
      </c>
      <c r="O9" s="29">
        <f>2017-M9</f>
        <v>2</v>
      </c>
      <c r="P9" s="56">
        <f>(1+$C$14)^O9</f>
        <v>0.97416899999999995</v>
      </c>
      <c r="Q9" s="9">
        <f>N9*P9</f>
        <v>1919.11293</v>
      </c>
      <c r="R9" s="5"/>
      <c r="S9" s="5"/>
      <c r="T9" s="5"/>
    </row>
    <row r="10" spans="1:20" x14ac:dyDescent="0.2">
      <c r="A10" s="38"/>
      <c r="B10" s="37"/>
      <c r="C10" s="51">
        <v>2015</v>
      </c>
      <c r="D10" s="50">
        <v>117600</v>
      </c>
      <c r="E10" s="52">
        <v>0.66</v>
      </c>
      <c r="F10" s="37"/>
      <c r="G10" s="55" t="s">
        <v>17</v>
      </c>
      <c r="H10" s="42" t="s">
        <v>53</v>
      </c>
      <c r="I10" s="54" t="s">
        <v>52</v>
      </c>
      <c r="J10" s="40"/>
      <c r="K10" s="36"/>
      <c r="M10" s="5"/>
      <c r="N10" s="5"/>
      <c r="O10" s="5"/>
      <c r="P10" s="5"/>
      <c r="Q10" s="5"/>
      <c r="R10" s="5"/>
      <c r="S10" s="5"/>
      <c r="T10" s="5"/>
    </row>
    <row r="11" spans="1:20" x14ac:dyDescent="0.2">
      <c r="A11" s="38"/>
      <c r="B11" s="37"/>
      <c r="C11" s="51">
        <v>2016</v>
      </c>
      <c r="D11" s="50">
        <v>64300</v>
      </c>
      <c r="E11" s="52">
        <v>0.85</v>
      </c>
      <c r="F11" s="37"/>
      <c r="G11" s="42">
        <v>2014</v>
      </c>
      <c r="H11" s="53">
        <v>2200</v>
      </c>
      <c r="I11" s="53">
        <v>32600</v>
      </c>
      <c r="J11" s="49"/>
      <c r="K11" s="36"/>
      <c r="M11" s="5"/>
      <c r="N11" s="5"/>
      <c r="O11" s="5"/>
      <c r="P11" s="5"/>
      <c r="Q11" s="5"/>
      <c r="R11" s="5"/>
      <c r="S11" s="5"/>
      <c r="T11" s="5"/>
    </row>
    <row r="12" spans="1:20" x14ac:dyDescent="0.2">
      <c r="A12" s="38"/>
      <c r="B12" s="37"/>
      <c r="C12" s="51">
        <v>2017</v>
      </c>
      <c r="D12" s="50">
        <v>58900</v>
      </c>
      <c r="E12" s="52">
        <v>1</v>
      </c>
      <c r="F12" s="37"/>
      <c r="G12" s="51">
        <v>2015</v>
      </c>
      <c r="H12" s="50">
        <v>1970</v>
      </c>
      <c r="I12" s="50">
        <v>35300</v>
      </c>
      <c r="J12" s="49"/>
      <c r="K12" s="36"/>
      <c r="M12" s="24" t="s">
        <v>21</v>
      </c>
      <c r="N12" s="31" t="s">
        <v>20</v>
      </c>
      <c r="O12" s="23" t="s">
        <v>51</v>
      </c>
      <c r="P12" s="24" t="s">
        <v>51</v>
      </c>
      <c r="Q12" s="23" t="s">
        <v>28</v>
      </c>
      <c r="R12" s="5"/>
      <c r="S12" s="5"/>
      <c r="T12" s="5"/>
    </row>
    <row r="13" spans="1:20" ht="17" x14ac:dyDescent="0.2">
      <c r="A13" s="38"/>
      <c r="B13" s="40"/>
      <c r="C13" s="37"/>
      <c r="D13" s="37"/>
      <c r="E13" s="37"/>
      <c r="F13" s="37"/>
      <c r="G13" s="37"/>
      <c r="H13" s="37"/>
      <c r="I13" s="37"/>
      <c r="J13" s="37"/>
      <c r="K13" s="36"/>
      <c r="M13" s="16" t="s">
        <v>17</v>
      </c>
      <c r="N13" s="21" t="s">
        <v>49</v>
      </c>
      <c r="O13" s="21" t="s">
        <v>50</v>
      </c>
      <c r="P13" s="16" t="s">
        <v>49</v>
      </c>
      <c r="Q13" s="30" t="s">
        <v>15</v>
      </c>
      <c r="R13" s="5"/>
      <c r="S13" s="5"/>
      <c r="T13" s="5"/>
    </row>
    <row r="14" spans="1:20" x14ac:dyDescent="0.2">
      <c r="A14" s="38"/>
      <c r="B14" s="40"/>
      <c r="C14" s="48">
        <v>-1.2999999999999999E-2</v>
      </c>
      <c r="D14" s="220" t="s">
        <v>48</v>
      </c>
      <c r="E14" s="220"/>
      <c r="F14" s="220"/>
      <c r="G14" s="220"/>
      <c r="H14" s="37"/>
      <c r="I14" s="37"/>
      <c r="J14" s="37"/>
      <c r="K14" s="36"/>
      <c r="M14" s="11">
        <f>M8</f>
        <v>2014</v>
      </c>
      <c r="N14" s="9">
        <f>D9</f>
        <v>127500</v>
      </c>
      <c r="O14" s="28">
        <f>E9</f>
        <v>0.71</v>
      </c>
      <c r="P14" s="47">
        <f>N14*O14</f>
        <v>90525</v>
      </c>
      <c r="Q14" s="44">
        <f>Q8/P14</f>
        <v>2.3367142409279205E-2</v>
      </c>
      <c r="R14" s="5"/>
      <c r="S14" s="5"/>
      <c r="T14" s="5"/>
    </row>
    <row r="15" spans="1:20" x14ac:dyDescent="0.2">
      <c r="A15" s="38"/>
      <c r="B15" s="40"/>
      <c r="C15" s="46">
        <v>0.06</v>
      </c>
      <c r="D15" s="221" t="s">
        <v>47</v>
      </c>
      <c r="E15" s="221"/>
      <c r="F15" s="221"/>
      <c r="G15" s="221"/>
      <c r="H15" s="37"/>
      <c r="I15" s="37"/>
      <c r="J15" s="37"/>
      <c r="K15" s="36"/>
      <c r="M15" s="11">
        <f>M9</f>
        <v>2015</v>
      </c>
      <c r="N15" s="9">
        <f>D10</f>
        <v>117600</v>
      </c>
      <c r="O15" s="28">
        <f>E10</f>
        <v>0.66</v>
      </c>
      <c r="P15" s="45">
        <f>N15*O15</f>
        <v>77616</v>
      </c>
      <c r="Q15" s="44">
        <f>Q9/P15</f>
        <v>2.4725738636363636E-2</v>
      </c>
      <c r="R15" s="5"/>
      <c r="S15" s="5"/>
      <c r="T15" s="5"/>
    </row>
    <row r="16" spans="1:20" x14ac:dyDescent="0.2">
      <c r="A16" s="38"/>
      <c r="B16" s="40"/>
      <c r="C16" s="43">
        <v>0.15</v>
      </c>
      <c r="D16" s="224" t="s">
        <v>46</v>
      </c>
      <c r="E16" s="224"/>
      <c r="F16" s="224"/>
      <c r="G16" s="225"/>
      <c r="H16" s="37"/>
      <c r="I16" s="37"/>
      <c r="J16" s="37"/>
      <c r="K16" s="36"/>
      <c r="M16" s="5"/>
      <c r="N16" s="5"/>
      <c r="O16" s="5"/>
      <c r="P16" s="5"/>
      <c r="Q16" s="5"/>
      <c r="R16" s="5"/>
      <c r="S16" s="5"/>
      <c r="T16" s="5"/>
    </row>
    <row r="17" spans="1:20" x14ac:dyDescent="0.2">
      <c r="A17" s="38"/>
      <c r="B17" s="40"/>
      <c r="C17" s="42"/>
      <c r="D17" s="226" t="s">
        <v>45</v>
      </c>
      <c r="E17" s="226"/>
      <c r="F17" s="226"/>
      <c r="G17" s="227"/>
      <c r="H17" s="37"/>
      <c r="I17" s="37"/>
      <c r="J17" s="37"/>
      <c r="K17" s="36"/>
      <c r="M17" s="5"/>
      <c r="N17" s="5"/>
      <c r="O17" s="5" t="s">
        <v>44</v>
      </c>
      <c r="P17" s="5"/>
      <c r="Q17" s="41">
        <f>AVERAGE(Q14:Q15)</f>
        <v>2.404644052282142E-2</v>
      </c>
      <c r="R17" s="5" t="s">
        <v>43</v>
      </c>
      <c r="S17" s="5"/>
      <c r="T17" s="5"/>
    </row>
    <row r="18" spans="1:20" x14ac:dyDescent="0.2">
      <c r="A18" s="38"/>
      <c r="B18" s="40"/>
      <c r="C18" s="37"/>
      <c r="D18" s="37"/>
      <c r="E18" s="37"/>
      <c r="F18" s="37"/>
      <c r="G18" s="37"/>
      <c r="H18" s="37"/>
      <c r="I18" s="37"/>
      <c r="J18" s="37"/>
      <c r="K18" s="36"/>
      <c r="M18" s="5"/>
      <c r="N18" s="5"/>
      <c r="O18" s="223" t="s">
        <v>42</v>
      </c>
      <c r="P18" s="223"/>
      <c r="Q18" s="41">
        <f>Q17*E11/(1+C14)</f>
        <v>2.0708687380342664E-2</v>
      </c>
      <c r="R18" s="5" t="s">
        <v>41</v>
      </c>
      <c r="S18" s="5"/>
      <c r="T18" s="5"/>
    </row>
    <row r="19" spans="1:20" x14ac:dyDescent="0.2">
      <c r="A19" s="38" t="s">
        <v>40</v>
      </c>
      <c r="B19" s="39" t="s">
        <v>39</v>
      </c>
      <c r="C19" s="37" t="s">
        <v>38</v>
      </c>
      <c r="D19" s="37"/>
      <c r="E19" s="37"/>
      <c r="F19" s="37"/>
      <c r="G19" s="37"/>
      <c r="H19" s="37"/>
      <c r="I19" s="37"/>
      <c r="J19" s="37"/>
      <c r="K19" s="36"/>
      <c r="M19" s="5"/>
      <c r="N19" s="5"/>
      <c r="S19" s="5"/>
      <c r="T19" s="5"/>
    </row>
    <row r="20" spans="1:20" x14ac:dyDescent="0.2">
      <c r="A20" s="38"/>
      <c r="B20" s="40"/>
      <c r="C20" s="37" t="s">
        <v>37</v>
      </c>
      <c r="D20" s="37"/>
      <c r="E20" s="37"/>
      <c r="F20" s="37"/>
      <c r="G20" s="37"/>
      <c r="H20" s="37"/>
      <c r="I20" s="37"/>
      <c r="J20" s="37"/>
      <c r="K20" s="36"/>
      <c r="M20" s="5"/>
      <c r="N20" s="5"/>
      <c r="O20" s="5"/>
      <c r="P20" s="5"/>
      <c r="Q20" s="5"/>
      <c r="R20" s="5"/>
      <c r="S20" s="5"/>
      <c r="T20" s="5"/>
    </row>
    <row r="21" spans="1:20" x14ac:dyDescent="0.2">
      <c r="A21" s="38"/>
      <c r="B21" s="40"/>
      <c r="C21" s="37"/>
      <c r="D21" s="37"/>
      <c r="E21" s="37"/>
      <c r="F21" s="37"/>
      <c r="G21" s="37"/>
      <c r="H21" s="37"/>
      <c r="I21" s="37"/>
      <c r="J21" s="37"/>
      <c r="K21" s="36"/>
      <c r="M21" s="5"/>
      <c r="N21" s="5"/>
      <c r="O21" s="5"/>
      <c r="P21" s="5"/>
      <c r="Q21" s="5"/>
      <c r="R21" s="5"/>
      <c r="S21" s="5"/>
      <c r="T21" s="5"/>
    </row>
    <row r="22" spans="1:20" x14ac:dyDescent="0.2">
      <c r="A22" s="38" t="s">
        <v>36</v>
      </c>
      <c r="B22" s="39" t="s">
        <v>35</v>
      </c>
      <c r="C22" s="37" t="s">
        <v>34</v>
      </c>
      <c r="D22" s="37"/>
      <c r="E22" s="37"/>
      <c r="F22" s="37"/>
      <c r="G22" s="37"/>
      <c r="H22" s="37"/>
      <c r="I22" s="37"/>
      <c r="J22" s="37"/>
      <c r="K22" s="36"/>
      <c r="M22" s="5" t="s">
        <v>33</v>
      </c>
      <c r="N22" s="5"/>
      <c r="O22" s="5"/>
      <c r="P22" s="5"/>
      <c r="Q22" s="5"/>
      <c r="R22" s="5"/>
      <c r="S22" s="5"/>
      <c r="T22" s="5"/>
    </row>
    <row r="23" spans="1:20" ht="17" thickBot="1" x14ac:dyDescent="0.25">
      <c r="A23" s="38"/>
      <c r="B23" s="37"/>
      <c r="C23" s="37"/>
      <c r="D23" s="37"/>
      <c r="E23" s="37"/>
      <c r="F23" s="37"/>
      <c r="G23" s="37"/>
      <c r="H23" s="37"/>
      <c r="I23" s="37"/>
      <c r="J23" s="37"/>
      <c r="K23" s="36"/>
      <c r="M23" s="5"/>
      <c r="N23" s="5"/>
      <c r="O23" s="5"/>
      <c r="P23" s="5"/>
      <c r="Q23" s="5"/>
      <c r="R23" s="5"/>
      <c r="S23" s="5"/>
      <c r="T23" s="5"/>
    </row>
    <row r="24" spans="1:20" ht="17" thickBot="1" x14ac:dyDescent="0.25">
      <c r="A24" s="35" t="s">
        <v>32</v>
      </c>
      <c r="B24" s="33"/>
      <c r="C24" s="34"/>
      <c r="D24" s="33"/>
      <c r="E24" s="33"/>
      <c r="F24" s="33"/>
      <c r="G24" s="33"/>
      <c r="H24" s="33"/>
      <c r="I24" s="33"/>
      <c r="J24" s="33"/>
      <c r="K24" s="32"/>
      <c r="M24" s="24" t="s">
        <v>21</v>
      </c>
      <c r="N24" s="31" t="s">
        <v>18</v>
      </c>
      <c r="O24" s="23" t="s">
        <v>31</v>
      </c>
      <c r="P24" s="23" t="s">
        <v>30</v>
      </c>
      <c r="Q24" s="24" t="s">
        <v>29</v>
      </c>
      <c r="R24" s="23" t="s">
        <v>28</v>
      </c>
      <c r="S24" s="5"/>
      <c r="T24" s="5"/>
    </row>
    <row r="25" spans="1:20" ht="17" x14ac:dyDescent="0.2">
      <c r="M25" s="16" t="s">
        <v>17</v>
      </c>
      <c r="N25" s="21" t="s">
        <v>14</v>
      </c>
      <c r="O25" s="21" t="s">
        <v>27</v>
      </c>
      <c r="P25" s="21" t="s">
        <v>26</v>
      </c>
      <c r="Q25" s="16" t="s">
        <v>25</v>
      </c>
      <c r="R25" s="30" t="s">
        <v>14</v>
      </c>
      <c r="S25" s="5"/>
      <c r="T25" s="5"/>
    </row>
    <row r="26" spans="1:20" x14ac:dyDescent="0.2">
      <c r="M26" s="11">
        <f>G11</f>
        <v>2014</v>
      </c>
      <c r="N26" s="9">
        <f>I11</f>
        <v>32600</v>
      </c>
      <c r="O26" s="29">
        <f>2017-M26</f>
        <v>3</v>
      </c>
      <c r="P26" s="28">
        <f>(1+$C$15)^O26</f>
        <v>1.1910160000000003</v>
      </c>
      <c r="Q26" s="27">
        <f>1-$C$16</f>
        <v>0.85</v>
      </c>
      <c r="R26" s="9">
        <f>N26*P26*Q26</f>
        <v>33003.053360000013</v>
      </c>
      <c r="S26" s="5"/>
      <c r="T26" s="5"/>
    </row>
    <row r="27" spans="1:20" x14ac:dyDescent="0.2">
      <c r="M27" s="11">
        <f>G12</f>
        <v>2015</v>
      </c>
      <c r="N27" s="9">
        <f>I12</f>
        <v>35300</v>
      </c>
      <c r="O27" s="29">
        <f>2017-M27</f>
        <v>2</v>
      </c>
      <c r="P27" s="28">
        <f>(1+$C$15)^O27</f>
        <v>1.1236000000000002</v>
      </c>
      <c r="Q27" s="27">
        <f>1-$C$16</f>
        <v>0.85</v>
      </c>
      <c r="R27" s="9">
        <f>N27*P27*Q27</f>
        <v>33713.618000000009</v>
      </c>
      <c r="S27" s="5"/>
      <c r="T27" s="5"/>
    </row>
    <row r="28" spans="1:20" x14ac:dyDescent="0.2">
      <c r="M28" s="5"/>
      <c r="N28" s="5"/>
      <c r="O28" s="5"/>
      <c r="P28" s="5"/>
      <c r="Q28" s="5"/>
      <c r="R28" s="5"/>
      <c r="S28" s="5"/>
      <c r="T28" s="5"/>
    </row>
    <row r="29" spans="1:20" x14ac:dyDescent="0.2">
      <c r="M29" s="5"/>
      <c r="N29" s="5"/>
      <c r="O29" s="5"/>
      <c r="P29" s="223" t="s">
        <v>24</v>
      </c>
      <c r="Q29" s="223"/>
      <c r="R29" s="25">
        <f>AVERAGE(R26:R27)</f>
        <v>33358.335680000011</v>
      </c>
      <c r="S29" s="5"/>
      <c r="T29" s="5"/>
    </row>
    <row r="30" spans="1:20" x14ac:dyDescent="0.2">
      <c r="M30" s="5"/>
      <c r="N30" s="5"/>
      <c r="O30" s="5"/>
      <c r="P30" s="223" t="s">
        <v>23</v>
      </c>
      <c r="Q30" s="223"/>
      <c r="R30" s="25">
        <f>R29/((1+$C$15)*(1-C16))</f>
        <v>37023.680000000015</v>
      </c>
      <c r="S30" s="5"/>
      <c r="T30" s="5"/>
    </row>
    <row r="31" spans="1:20" x14ac:dyDescent="0.2">
      <c r="M31" s="5"/>
      <c r="N31" s="5"/>
      <c r="O31" s="5"/>
      <c r="S31" s="5"/>
      <c r="T31" s="5"/>
    </row>
    <row r="32" spans="1:20" x14ac:dyDescent="0.2">
      <c r="M32" s="5" t="s">
        <v>22</v>
      </c>
      <c r="N32" s="5"/>
      <c r="O32" s="5"/>
      <c r="P32" s="5"/>
      <c r="Q32" s="5"/>
      <c r="R32" s="5"/>
      <c r="S32" s="5"/>
      <c r="T32" s="5"/>
    </row>
    <row r="33" spans="13:20" ht="17" thickBot="1" x14ac:dyDescent="0.25">
      <c r="M33" s="5"/>
      <c r="N33" s="5"/>
      <c r="O33" s="5"/>
      <c r="P33" s="5"/>
      <c r="Q33" s="5"/>
      <c r="R33" s="5"/>
      <c r="S33" s="5"/>
      <c r="T33" s="5"/>
    </row>
    <row r="34" spans="13:20" x14ac:dyDescent="0.2">
      <c r="M34" s="24" t="s">
        <v>21</v>
      </c>
      <c r="N34" s="23" t="s">
        <v>20</v>
      </c>
      <c r="O34" s="23" t="s">
        <v>19</v>
      </c>
      <c r="P34" s="23" t="s">
        <v>19</v>
      </c>
      <c r="Q34" s="22" t="s">
        <v>18</v>
      </c>
      <c r="R34" s="5"/>
      <c r="S34" s="5"/>
      <c r="T34" s="5"/>
    </row>
    <row r="35" spans="13:20" ht="17" x14ac:dyDescent="0.2">
      <c r="M35" s="16" t="s">
        <v>17</v>
      </c>
      <c r="N35" s="21" t="s">
        <v>16</v>
      </c>
      <c r="O35" s="21" t="s">
        <v>15</v>
      </c>
      <c r="P35" s="21" t="s">
        <v>14</v>
      </c>
      <c r="Q35" s="20" t="s">
        <v>13</v>
      </c>
      <c r="R35" s="5"/>
      <c r="S35" s="5"/>
      <c r="T35" s="5"/>
    </row>
    <row r="36" spans="13:20" x14ac:dyDescent="0.2">
      <c r="M36" s="11">
        <f>C11</f>
        <v>2016</v>
      </c>
      <c r="N36" s="19">
        <f>D11</f>
        <v>64300</v>
      </c>
      <c r="O36" s="18">
        <f>Q18</f>
        <v>2.0708687380342664E-2</v>
      </c>
      <c r="P36" s="9">
        <f>R30</f>
        <v>37023.680000000015</v>
      </c>
      <c r="Q36" s="17">
        <f>N36*O36*P36/1000</f>
        <v>49299.56969098706</v>
      </c>
      <c r="R36" s="5"/>
      <c r="S36" s="5"/>
      <c r="T36" s="5"/>
    </row>
    <row r="37" spans="13:20" x14ac:dyDescent="0.2">
      <c r="M37" s="16">
        <f>C12</f>
        <v>2017</v>
      </c>
      <c r="N37" s="15">
        <f>D12</f>
        <v>58900</v>
      </c>
      <c r="O37" s="14">
        <f>Q17</f>
        <v>2.404644052282142E-2</v>
      </c>
      <c r="P37" s="13">
        <f>R29</f>
        <v>33358.335680000011</v>
      </c>
      <c r="Q37" s="12">
        <f>N37*O37*P37/1000</f>
        <v>47246.589933809541</v>
      </c>
      <c r="R37" s="5"/>
      <c r="S37" s="5"/>
      <c r="T37" s="5"/>
    </row>
    <row r="38" spans="13:20" ht="18" thickBot="1" x14ac:dyDescent="0.25">
      <c r="M38" s="11" t="s">
        <v>12</v>
      </c>
      <c r="N38" s="10"/>
      <c r="O38" s="9"/>
      <c r="P38" s="9"/>
      <c r="Q38" s="8">
        <f>SUM(Q36:Q37)</f>
        <v>96546.159624796594</v>
      </c>
      <c r="R38" s="5"/>
      <c r="S38" s="5"/>
      <c r="T38" s="5"/>
    </row>
    <row r="39" spans="13:20" x14ac:dyDescent="0.2">
      <c r="M39" s="5"/>
      <c r="N39" s="5"/>
      <c r="O39" s="5"/>
      <c r="P39" s="5"/>
      <c r="Q39" s="5"/>
      <c r="R39" s="5"/>
      <c r="S39" s="5"/>
      <c r="T39" s="5"/>
    </row>
    <row r="40" spans="13:20" x14ac:dyDescent="0.2">
      <c r="M40" s="7" t="s">
        <v>11</v>
      </c>
      <c r="N40" s="5"/>
      <c r="O40" s="5"/>
      <c r="P40" s="5"/>
      <c r="Q40" s="5"/>
      <c r="R40" s="5"/>
      <c r="S40" s="5"/>
      <c r="T40" s="5"/>
    </row>
    <row r="41" spans="13:20" x14ac:dyDescent="0.2">
      <c r="M41" s="6" t="s">
        <v>10</v>
      </c>
      <c r="N41" s="5"/>
      <c r="O41" s="5"/>
      <c r="P41" s="5"/>
      <c r="Q41" s="5"/>
      <c r="R41" s="5"/>
      <c r="S41" s="5"/>
      <c r="T41" s="5"/>
    </row>
    <row r="42" spans="13:20" x14ac:dyDescent="0.2">
      <c r="M42" s="1" t="s">
        <v>9</v>
      </c>
      <c r="N42" s="5"/>
      <c r="O42" s="5"/>
      <c r="P42" s="5"/>
      <c r="Q42" s="5"/>
      <c r="R42" s="5"/>
      <c r="S42" s="5"/>
      <c r="T42" s="5"/>
    </row>
    <row r="43" spans="13:20" x14ac:dyDescent="0.2">
      <c r="M43" s="1" t="s">
        <v>8</v>
      </c>
      <c r="N43" s="5"/>
      <c r="O43" s="5"/>
      <c r="P43" s="5"/>
      <c r="Q43" s="5"/>
      <c r="R43" s="5"/>
      <c r="S43" s="5"/>
      <c r="T43" s="5"/>
    </row>
    <row r="44" spans="13:20" x14ac:dyDescent="0.2">
      <c r="M44" s="1" t="s">
        <v>7</v>
      </c>
      <c r="N44" s="5"/>
      <c r="O44" s="5"/>
      <c r="P44" s="5"/>
      <c r="Q44" s="5"/>
      <c r="R44" s="5"/>
      <c r="S44" s="5"/>
      <c r="T44" s="5"/>
    </row>
    <row r="45" spans="13:20" x14ac:dyDescent="0.2">
      <c r="M45" s="1" t="s">
        <v>6</v>
      </c>
      <c r="N45" s="5"/>
      <c r="O45" s="5"/>
      <c r="P45" s="5"/>
      <c r="Q45" s="5"/>
      <c r="R45" s="5"/>
      <c r="S45" s="5"/>
      <c r="T45" s="5"/>
    </row>
    <row r="46" spans="13:20" x14ac:dyDescent="0.2">
      <c r="M46" s="1" t="s">
        <v>5</v>
      </c>
      <c r="N46" s="5"/>
      <c r="O46" s="5"/>
      <c r="P46" s="5"/>
      <c r="Q46" s="5"/>
      <c r="R46" s="5"/>
      <c r="S46" s="5"/>
      <c r="T46" s="5"/>
    </row>
    <row r="47" spans="13:20" x14ac:dyDescent="0.2">
      <c r="M47" s="1" t="s">
        <v>4</v>
      </c>
      <c r="N47" s="5"/>
      <c r="O47" s="5"/>
      <c r="P47" s="5"/>
      <c r="Q47" s="5"/>
      <c r="R47" s="5"/>
      <c r="S47" s="5"/>
      <c r="T47" s="5"/>
    </row>
    <row r="48" spans="13:20" x14ac:dyDescent="0.2">
      <c r="M48" s="5"/>
      <c r="N48" s="5"/>
      <c r="O48" s="5"/>
      <c r="P48" s="5"/>
      <c r="Q48" s="5"/>
      <c r="R48" s="5"/>
      <c r="S48" s="5"/>
      <c r="T48" s="5"/>
    </row>
    <row r="49" spans="13:19" ht="19" x14ac:dyDescent="0.25">
      <c r="M49" s="3" t="s">
        <v>3</v>
      </c>
      <c r="N49" s="4"/>
      <c r="O49" s="4"/>
      <c r="P49" s="4"/>
      <c r="Q49" s="4"/>
      <c r="R49" s="4"/>
      <c r="S49" s="4"/>
    </row>
    <row r="50" spans="13:19" x14ac:dyDescent="0.2">
      <c r="M50" s="222" t="s">
        <v>2</v>
      </c>
      <c r="N50" s="222"/>
      <c r="O50" s="222"/>
      <c r="P50" s="222"/>
      <c r="Q50" s="222"/>
      <c r="R50" s="222"/>
      <c r="S50" s="222"/>
    </row>
    <row r="51" spans="13:19" x14ac:dyDescent="0.2">
      <c r="M51" s="222"/>
      <c r="N51" s="222"/>
      <c r="O51" s="222"/>
      <c r="P51" s="222"/>
      <c r="Q51" s="222"/>
      <c r="R51" s="222"/>
      <c r="S51" s="222"/>
    </row>
    <row r="52" spans="13:19" x14ac:dyDescent="0.2">
      <c r="M52" s="222"/>
      <c r="N52" s="222"/>
      <c r="O52" s="222"/>
      <c r="P52" s="222"/>
      <c r="Q52" s="222"/>
      <c r="R52" s="222"/>
      <c r="S52" s="222"/>
    </row>
    <row r="53" spans="13:19" x14ac:dyDescent="0.2">
      <c r="M53" s="222"/>
      <c r="N53" s="222"/>
      <c r="O53" s="222"/>
      <c r="P53" s="222"/>
      <c r="Q53" s="222"/>
      <c r="R53" s="222"/>
      <c r="S53" s="222"/>
    </row>
    <row r="54" spans="13:19" x14ac:dyDescent="0.2">
      <c r="M54" s="222"/>
      <c r="N54" s="222"/>
      <c r="O54" s="222"/>
      <c r="P54" s="222"/>
      <c r="Q54" s="222"/>
      <c r="R54" s="222"/>
      <c r="S54" s="222"/>
    </row>
    <row r="55" spans="13:19" x14ac:dyDescent="0.2">
      <c r="M55" s="222"/>
      <c r="N55" s="222"/>
      <c r="O55" s="222"/>
      <c r="P55" s="222"/>
      <c r="Q55" s="222"/>
      <c r="R55" s="222"/>
      <c r="S55" s="222"/>
    </row>
    <row r="56" spans="13:19" x14ac:dyDescent="0.2">
      <c r="M56" s="222"/>
      <c r="N56" s="222"/>
      <c r="O56" s="222"/>
      <c r="P56" s="222"/>
      <c r="Q56" s="222"/>
      <c r="R56" s="222"/>
      <c r="S56" s="222"/>
    </row>
    <row r="57" spans="13:19" x14ac:dyDescent="0.2">
      <c r="M57" s="222"/>
      <c r="N57" s="222"/>
      <c r="O57" s="222"/>
      <c r="P57" s="222"/>
      <c r="Q57" s="222"/>
      <c r="R57" s="222"/>
      <c r="S57" s="222"/>
    </row>
    <row r="58" spans="13:19" x14ac:dyDescent="0.2">
      <c r="M58" s="222"/>
      <c r="N58" s="222"/>
      <c r="O58" s="222"/>
      <c r="P58" s="222"/>
      <c r="Q58" s="222"/>
      <c r="R58" s="222"/>
      <c r="S58" s="222"/>
    </row>
    <row r="60" spans="13:19" ht="19" x14ac:dyDescent="0.25">
      <c r="M60" s="3" t="s">
        <v>1</v>
      </c>
    </row>
    <row r="61" spans="13:19" x14ac:dyDescent="0.2">
      <c r="M61" s="1" t="s">
        <v>0</v>
      </c>
    </row>
  </sheetData>
  <mergeCells count="8">
    <mergeCell ref="D14:G14"/>
    <mergeCell ref="D15:G15"/>
    <mergeCell ref="M50:S58"/>
    <mergeCell ref="O18:P18"/>
    <mergeCell ref="P29:Q29"/>
    <mergeCell ref="P30:Q30"/>
    <mergeCell ref="D16:G16"/>
    <mergeCell ref="D17:G17"/>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9E7DC-5352-4144-9B46-6B2C15F0C2E3}">
  <dimension ref="A1:T23"/>
  <sheetViews>
    <sheetView workbookViewId="0">
      <selection activeCell="B1" sqref="B1"/>
    </sheetView>
  </sheetViews>
  <sheetFormatPr baseColWidth="10" defaultColWidth="11" defaultRowHeight="16" outlineLevelCol="1" x14ac:dyDescent="0.2"/>
  <cols>
    <col min="1" max="1" width="4" style="2" customWidth="1"/>
    <col min="2" max="2" width="10.83203125" style="1" customWidth="1"/>
    <col min="3" max="12" width="11" style="1"/>
    <col min="13" max="19" width="10.83203125" style="1" hidden="1" customWidth="1" outlineLevel="1"/>
    <col min="20" max="20" width="11" style="1" collapsed="1"/>
    <col min="21" max="16384" width="11" style="1"/>
  </cols>
  <sheetData>
    <row r="1" spans="1:19" x14ac:dyDescent="0.2">
      <c r="A1" s="71"/>
      <c r="B1" s="70" t="s">
        <v>70</v>
      </c>
      <c r="C1" s="69" t="s">
        <v>157</v>
      </c>
      <c r="D1" s="69" t="s">
        <v>68</v>
      </c>
      <c r="E1" s="69" t="s">
        <v>194</v>
      </c>
      <c r="F1" s="68"/>
      <c r="G1" s="68"/>
      <c r="H1" s="68"/>
      <c r="I1" s="68"/>
      <c r="J1" s="68"/>
      <c r="K1" s="67"/>
      <c r="L1" s="64" t="s">
        <v>66</v>
      </c>
      <c r="M1" s="64"/>
    </row>
    <row r="2" spans="1:19" x14ac:dyDescent="0.2">
      <c r="A2" s="38"/>
      <c r="B2" s="66" t="s">
        <v>65</v>
      </c>
      <c r="C2" s="65">
        <v>2.25</v>
      </c>
      <c r="D2" s="37"/>
      <c r="E2" s="37"/>
      <c r="F2" s="37"/>
      <c r="G2" s="37"/>
      <c r="H2" s="37"/>
      <c r="I2" s="37"/>
      <c r="J2" s="37"/>
      <c r="K2" s="36"/>
    </row>
    <row r="3" spans="1:19" x14ac:dyDescent="0.2">
      <c r="A3" s="38"/>
      <c r="B3" s="37"/>
      <c r="C3" s="37"/>
      <c r="D3" s="37"/>
      <c r="E3" s="37"/>
      <c r="F3" s="37"/>
      <c r="G3" s="37"/>
      <c r="H3" s="37"/>
      <c r="I3" s="37"/>
      <c r="J3" s="37"/>
      <c r="K3" s="36"/>
      <c r="M3" s="64" t="s">
        <v>64</v>
      </c>
    </row>
    <row r="4" spans="1:19" ht="16" customHeight="1" x14ac:dyDescent="0.2">
      <c r="A4" s="38"/>
      <c r="B4" s="37"/>
      <c r="C4" s="37" t="s">
        <v>321</v>
      </c>
      <c r="D4" s="37"/>
      <c r="E4" s="37"/>
      <c r="F4" s="37"/>
      <c r="G4" s="37"/>
      <c r="H4" s="37"/>
      <c r="I4" s="37"/>
      <c r="J4" s="37"/>
      <c r="K4" s="36"/>
      <c r="M4" s="187" t="s">
        <v>320</v>
      </c>
      <c r="N4" s="187"/>
      <c r="O4" s="187"/>
      <c r="P4" s="187"/>
      <c r="Q4" s="187"/>
      <c r="R4" s="187"/>
      <c r="S4" s="187"/>
    </row>
    <row r="5" spans="1:19" x14ac:dyDescent="0.2">
      <c r="A5" s="38"/>
      <c r="B5" s="37"/>
      <c r="C5" s="37" t="s">
        <v>319</v>
      </c>
      <c r="D5" s="37"/>
      <c r="E5" s="37"/>
      <c r="F5" s="37"/>
      <c r="G5" s="37"/>
      <c r="H5" s="37"/>
      <c r="I5" s="37"/>
      <c r="J5" s="37"/>
      <c r="K5" s="36"/>
      <c r="M5" s="187"/>
      <c r="N5" s="187"/>
      <c r="O5" s="187"/>
      <c r="P5" s="187"/>
      <c r="Q5" s="187"/>
      <c r="R5" s="187"/>
      <c r="S5" s="187"/>
    </row>
    <row r="6" spans="1:19" x14ac:dyDescent="0.2">
      <c r="A6" s="38"/>
      <c r="B6" s="37"/>
      <c r="C6" s="37"/>
      <c r="D6" s="37"/>
      <c r="E6" s="37"/>
      <c r="F6" s="37"/>
      <c r="G6" s="37"/>
      <c r="H6" s="37"/>
      <c r="I6" s="37"/>
      <c r="J6" s="37"/>
      <c r="K6" s="36"/>
      <c r="M6" s="187"/>
      <c r="N6" s="187"/>
      <c r="O6" s="187"/>
      <c r="P6" s="187"/>
      <c r="Q6" s="187"/>
      <c r="R6" s="187"/>
      <c r="S6" s="187"/>
    </row>
    <row r="7" spans="1:19" x14ac:dyDescent="0.2">
      <c r="A7" s="38" t="s">
        <v>40</v>
      </c>
      <c r="B7" s="37" t="s">
        <v>35</v>
      </c>
      <c r="C7" s="37" t="s">
        <v>318</v>
      </c>
      <c r="D7" s="37"/>
      <c r="E7" s="37"/>
      <c r="F7" s="37"/>
      <c r="G7" s="37"/>
      <c r="H7" s="37"/>
      <c r="I7" s="37"/>
      <c r="J7" s="37"/>
      <c r="K7" s="36"/>
      <c r="N7" s="171"/>
    </row>
    <row r="8" spans="1:19" x14ac:dyDescent="0.2">
      <c r="A8" s="38"/>
      <c r="B8" s="37"/>
      <c r="C8" s="37" t="s">
        <v>317</v>
      </c>
      <c r="D8" s="37"/>
      <c r="E8" s="37"/>
      <c r="F8" s="37"/>
      <c r="G8" s="37"/>
      <c r="H8" s="37"/>
      <c r="I8" s="37"/>
      <c r="J8" s="37"/>
      <c r="K8" s="36"/>
      <c r="M8" s="64" t="s">
        <v>11</v>
      </c>
      <c r="N8" s="170"/>
    </row>
    <row r="9" spans="1:19" ht="16" customHeight="1" x14ac:dyDescent="0.2">
      <c r="A9" s="38"/>
      <c r="B9" s="37"/>
      <c r="C9" s="37"/>
      <c r="D9" s="37"/>
      <c r="E9" s="37"/>
      <c r="F9" s="37"/>
      <c r="G9" s="37"/>
      <c r="H9" s="37"/>
      <c r="I9" s="37"/>
      <c r="J9" s="37"/>
      <c r="K9" s="36"/>
      <c r="M9" s="187" t="s">
        <v>316</v>
      </c>
      <c r="N9" s="187"/>
      <c r="O9" s="187"/>
      <c r="P9" s="187"/>
      <c r="Q9" s="187"/>
      <c r="R9" s="187"/>
      <c r="S9" s="187"/>
    </row>
    <row r="10" spans="1:19" x14ac:dyDescent="0.2">
      <c r="A10" s="38" t="s">
        <v>36</v>
      </c>
      <c r="B10" s="37" t="s">
        <v>315</v>
      </c>
      <c r="C10" s="37" t="s">
        <v>314</v>
      </c>
      <c r="D10" s="37"/>
      <c r="E10" s="37"/>
      <c r="F10" s="37"/>
      <c r="G10" s="37"/>
      <c r="H10" s="37"/>
      <c r="I10" s="37"/>
      <c r="J10" s="37"/>
      <c r="K10" s="36"/>
      <c r="M10" s="187"/>
      <c r="N10" s="187"/>
      <c r="O10" s="187"/>
      <c r="P10" s="187"/>
      <c r="Q10" s="187"/>
      <c r="R10" s="187"/>
      <c r="S10" s="187"/>
    </row>
    <row r="11" spans="1:19" x14ac:dyDescent="0.2">
      <c r="A11" s="38"/>
      <c r="B11" s="37"/>
      <c r="C11" s="37" t="s">
        <v>313</v>
      </c>
      <c r="D11" s="37"/>
      <c r="E11" s="37"/>
      <c r="F11" s="37"/>
      <c r="G11" s="37"/>
      <c r="H11" s="37"/>
      <c r="I11" s="37"/>
      <c r="J11" s="37"/>
      <c r="K11" s="36"/>
      <c r="M11" s="187"/>
      <c r="N11" s="187"/>
      <c r="O11" s="187"/>
      <c r="P11" s="187"/>
      <c r="Q11" s="187"/>
      <c r="R11" s="187"/>
      <c r="S11" s="187"/>
    </row>
    <row r="12" spans="1:19" x14ac:dyDescent="0.2">
      <c r="A12" s="38"/>
      <c r="B12" s="37"/>
      <c r="C12" s="37" t="s">
        <v>37</v>
      </c>
      <c r="D12" s="37"/>
      <c r="E12" s="37"/>
      <c r="F12" s="37"/>
      <c r="G12" s="37"/>
      <c r="H12" s="37"/>
      <c r="I12" s="37"/>
      <c r="J12" s="37"/>
      <c r="K12" s="36"/>
      <c r="M12" s="187"/>
      <c r="N12" s="187"/>
      <c r="O12" s="187"/>
      <c r="P12" s="187"/>
      <c r="Q12" s="187"/>
      <c r="R12" s="187"/>
      <c r="S12" s="187"/>
    </row>
    <row r="13" spans="1:19" x14ac:dyDescent="0.2">
      <c r="A13" s="38"/>
      <c r="B13" s="40"/>
      <c r="C13" s="37"/>
      <c r="D13" s="37"/>
      <c r="E13" s="37"/>
      <c r="F13" s="37"/>
      <c r="G13" s="37"/>
      <c r="H13" s="37"/>
      <c r="I13" s="37"/>
      <c r="J13" s="37"/>
      <c r="K13" s="36"/>
      <c r="M13" s="187"/>
      <c r="N13" s="187"/>
      <c r="O13" s="187"/>
      <c r="P13" s="187"/>
      <c r="Q13" s="187"/>
      <c r="R13" s="187"/>
      <c r="S13" s="187"/>
    </row>
    <row r="14" spans="1:19" x14ac:dyDescent="0.2">
      <c r="A14" s="38" t="s">
        <v>173</v>
      </c>
      <c r="B14" s="39" t="s">
        <v>35</v>
      </c>
      <c r="C14" s="37" t="s">
        <v>312</v>
      </c>
      <c r="D14" s="37"/>
      <c r="E14" s="37"/>
      <c r="F14" s="37"/>
      <c r="G14" s="37"/>
      <c r="H14" s="37"/>
      <c r="I14" s="37"/>
      <c r="J14" s="37"/>
      <c r="K14" s="36"/>
      <c r="M14" s="187"/>
      <c r="N14" s="187"/>
      <c r="O14" s="187"/>
      <c r="P14" s="187"/>
      <c r="Q14" s="187"/>
      <c r="R14" s="187"/>
      <c r="S14" s="187"/>
    </row>
    <row r="15" spans="1:19" x14ac:dyDescent="0.2">
      <c r="A15" s="38"/>
      <c r="B15" s="40"/>
      <c r="C15" s="37" t="s">
        <v>311</v>
      </c>
      <c r="D15" s="37"/>
      <c r="E15" s="37"/>
      <c r="F15" s="37"/>
      <c r="G15" s="37"/>
      <c r="H15" s="37"/>
      <c r="I15" s="37"/>
      <c r="J15" s="37"/>
      <c r="K15" s="36"/>
    </row>
    <row r="16" spans="1:19" ht="17" thickBot="1" x14ac:dyDescent="0.25">
      <c r="A16" s="38"/>
      <c r="B16" s="40"/>
      <c r="C16" s="37"/>
      <c r="D16" s="37"/>
      <c r="E16" s="37"/>
      <c r="F16" s="37"/>
      <c r="G16" s="37"/>
      <c r="H16" s="37"/>
      <c r="I16" s="37"/>
      <c r="J16" s="37"/>
      <c r="K16" s="36"/>
      <c r="M16" s="64" t="s">
        <v>166</v>
      </c>
    </row>
    <row r="17" spans="1:19" ht="17" thickBot="1" x14ac:dyDescent="0.25">
      <c r="A17" s="35" t="s">
        <v>32</v>
      </c>
      <c r="B17" s="33"/>
      <c r="C17" s="34"/>
      <c r="D17" s="33"/>
      <c r="E17" s="33"/>
      <c r="F17" s="33"/>
      <c r="G17" s="33"/>
      <c r="H17" s="33"/>
      <c r="I17" s="33"/>
      <c r="J17" s="33"/>
      <c r="K17" s="32"/>
      <c r="M17" s="187" t="s">
        <v>310</v>
      </c>
      <c r="N17" s="187"/>
      <c r="O17" s="187"/>
      <c r="P17" s="187"/>
      <c r="Q17" s="187"/>
      <c r="R17" s="187"/>
      <c r="S17" s="187"/>
    </row>
    <row r="18" spans="1:19" x14ac:dyDescent="0.2">
      <c r="M18" s="187"/>
      <c r="N18" s="187"/>
      <c r="O18" s="187"/>
      <c r="P18" s="187"/>
      <c r="Q18" s="187"/>
      <c r="R18" s="187"/>
      <c r="S18" s="187"/>
    </row>
    <row r="21" spans="1:19" ht="19" x14ac:dyDescent="0.25">
      <c r="M21" s="72" t="s">
        <v>3</v>
      </c>
    </row>
    <row r="22" spans="1:19" x14ac:dyDescent="0.2">
      <c r="M22" s="187" t="s">
        <v>309</v>
      </c>
      <c r="N22" s="187"/>
      <c r="O22" s="187"/>
      <c r="P22" s="187"/>
      <c r="Q22" s="187"/>
      <c r="R22" s="187"/>
      <c r="S22" s="187"/>
    </row>
    <row r="23" spans="1:19" x14ac:dyDescent="0.2">
      <c r="M23" s="187"/>
      <c r="N23" s="187"/>
      <c r="O23" s="187"/>
      <c r="P23" s="187"/>
      <c r="Q23" s="187"/>
      <c r="R23" s="187"/>
      <c r="S23" s="187"/>
    </row>
  </sheetData>
  <mergeCells count="4">
    <mergeCell ref="M22:S23"/>
    <mergeCell ref="M4:S6"/>
    <mergeCell ref="M9:S14"/>
    <mergeCell ref="M17:S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6823C-FBF9-0B43-9E86-528382229920}">
  <dimension ref="A1:T27"/>
  <sheetViews>
    <sheetView workbookViewId="0">
      <selection activeCell="B1" sqref="B1"/>
    </sheetView>
  </sheetViews>
  <sheetFormatPr baseColWidth="10" defaultColWidth="11" defaultRowHeight="16" outlineLevelCol="1" x14ac:dyDescent="0.2"/>
  <cols>
    <col min="1" max="1" width="4" style="2" customWidth="1"/>
    <col min="2" max="2" width="10.83203125" style="1" customWidth="1"/>
    <col min="3" max="12" width="11" style="1"/>
    <col min="13" max="19" width="10.83203125" style="1" hidden="1" customWidth="1" outlineLevel="1"/>
    <col min="20" max="20" width="10.83203125" style="1" customWidth="1" collapsed="1"/>
    <col min="21" max="16384" width="11" style="1"/>
  </cols>
  <sheetData>
    <row r="1" spans="1:19" x14ac:dyDescent="0.2">
      <c r="A1" s="71"/>
      <c r="B1" s="70" t="s">
        <v>70</v>
      </c>
      <c r="C1" s="69" t="s">
        <v>361</v>
      </c>
      <c r="D1" s="69" t="s">
        <v>68</v>
      </c>
      <c r="E1" s="69" t="s">
        <v>360</v>
      </c>
      <c r="F1" s="68"/>
      <c r="G1" s="68"/>
      <c r="H1" s="68"/>
      <c r="I1" s="68"/>
      <c r="J1" s="68"/>
      <c r="K1" s="67"/>
      <c r="L1" s="64" t="s">
        <v>66</v>
      </c>
    </row>
    <row r="2" spans="1:19" x14ac:dyDescent="0.2">
      <c r="A2" s="38"/>
      <c r="B2" s="66" t="s">
        <v>65</v>
      </c>
      <c r="C2" s="65">
        <v>2</v>
      </c>
      <c r="D2" s="37"/>
      <c r="E2" s="37"/>
      <c r="F2" s="37"/>
      <c r="G2" s="37"/>
      <c r="H2" s="37"/>
      <c r="I2" s="37"/>
      <c r="J2" s="37"/>
      <c r="K2" s="36"/>
    </row>
    <row r="3" spans="1:19" x14ac:dyDescent="0.2">
      <c r="A3" s="38"/>
      <c r="B3" s="37"/>
      <c r="C3" s="37"/>
      <c r="D3" s="37"/>
      <c r="E3" s="37"/>
      <c r="F3" s="37"/>
      <c r="G3" s="37"/>
      <c r="H3" s="37"/>
      <c r="I3" s="37"/>
      <c r="J3" s="37"/>
      <c r="K3" s="36"/>
      <c r="M3" s="64" t="s">
        <v>64</v>
      </c>
    </row>
    <row r="4" spans="1:19" ht="16" customHeight="1" x14ac:dyDescent="0.2">
      <c r="A4" s="38"/>
      <c r="B4" s="37"/>
      <c r="C4" s="37" t="s">
        <v>359</v>
      </c>
      <c r="D4" s="37"/>
      <c r="E4" s="37"/>
      <c r="F4" s="37"/>
      <c r="G4" s="37"/>
      <c r="H4" s="37"/>
      <c r="I4" s="37"/>
      <c r="J4" s="37"/>
      <c r="K4" s="36"/>
      <c r="M4" s="187" t="s">
        <v>358</v>
      </c>
      <c r="N4" s="187"/>
      <c r="O4" s="187"/>
      <c r="P4" s="187"/>
      <c r="Q4" s="187"/>
      <c r="R4" s="187"/>
      <c r="S4" s="187"/>
    </row>
    <row r="5" spans="1:19" x14ac:dyDescent="0.2">
      <c r="A5" s="38"/>
      <c r="B5" s="37"/>
      <c r="C5" s="37"/>
      <c r="D5" s="37"/>
      <c r="E5" s="37"/>
      <c r="F5" s="37"/>
      <c r="G5" s="37"/>
      <c r="H5" s="37"/>
      <c r="I5" s="37"/>
      <c r="J5" s="37"/>
      <c r="K5" s="36"/>
      <c r="M5" s="187"/>
      <c r="N5" s="187"/>
      <c r="O5" s="187"/>
      <c r="P5" s="187"/>
      <c r="Q5" s="187"/>
      <c r="R5" s="187"/>
      <c r="S5" s="187"/>
    </row>
    <row r="6" spans="1:19" x14ac:dyDescent="0.2">
      <c r="A6" s="38" t="s">
        <v>40</v>
      </c>
      <c r="B6" s="37" t="s">
        <v>35</v>
      </c>
      <c r="C6" s="37" t="s">
        <v>357</v>
      </c>
      <c r="D6" s="37"/>
      <c r="E6" s="37"/>
      <c r="F6" s="37"/>
      <c r="G6" s="37"/>
      <c r="H6" s="37"/>
      <c r="I6" s="37"/>
      <c r="J6" s="37"/>
      <c r="K6" s="36"/>
      <c r="M6" s="187"/>
      <c r="N6" s="187"/>
      <c r="O6" s="187"/>
      <c r="P6" s="187"/>
      <c r="Q6" s="187"/>
      <c r="R6" s="187"/>
      <c r="S6" s="187"/>
    </row>
    <row r="7" spans="1:19" x14ac:dyDescent="0.2">
      <c r="A7" s="38"/>
      <c r="B7" s="37"/>
      <c r="C7" s="37"/>
      <c r="D7" s="37"/>
      <c r="E7" s="37"/>
      <c r="F7" s="37"/>
      <c r="G7" s="37"/>
      <c r="H7" s="37"/>
      <c r="I7" s="37"/>
      <c r="J7" s="37"/>
      <c r="K7" s="36"/>
    </row>
    <row r="8" spans="1:19" x14ac:dyDescent="0.2">
      <c r="A8" s="38" t="s">
        <v>36</v>
      </c>
      <c r="B8" s="37" t="s">
        <v>35</v>
      </c>
      <c r="C8" s="37" t="s">
        <v>356</v>
      </c>
      <c r="D8" s="37"/>
      <c r="E8" s="37"/>
      <c r="F8" s="37"/>
      <c r="G8" s="37"/>
      <c r="H8" s="37"/>
      <c r="I8" s="37"/>
      <c r="J8" s="37"/>
      <c r="K8" s="36"/>
      <c r="M8" s="64" t="s">
        <v>11</v>
      </c>
    </row>
    <row r="9" spans="1:19" x14ac:dyDescent="0.2">
      <c r="A9" s="38"/>
      <c r="B9" s="37"/>
      <c r="C9" s="37"/>
      <c r="D9" s="37"/>
      <c r="E9" s="37"/>
      <c r="F9" s="37"/>
      <c r="G9" s="37"/>
      <c r="H9" s="37"/>
      <c r="I9" s="37"/>
      <c r="J9" s="37"/>
      <c r="K9" s="36"/>
      <c r="M9" s="203" t="s">
        <v>355</v>
      </c>
      <c r="N9" s="203"/>
      <c r="O9" s="203"/>
      <c r="P9" s="203"/>
      <c r="Q9" s="203"/>
      <c r="R9" s="203"/>
      <c r="S9" s="203"/>
    </row>
    <row r="10" spans="1:19" x14ac:dyDescent="0.2">
      <c r="A10" s="38" t="s">
        <v>173</v>
      </c>
      <c r="B10" s="37" t="s">
        <v>35</v>
      </c>
      <c r="C10" s="37" t="s">
        <v>354</v>
      </c>
      <c r="D10" s="37"/>
      <c r="E10" s="37"/>
      <c r="F10" s="37"/>
      <c r="G10" s="37"/>
      <c r="H10" s="37"/>
      <c r="I10" s="37"/>
      <c r="J10" s="37"/>
      <c r="K10" s="36"/>
      <c r="M10" s="203"/>
      <c r="N10" s="203"/>
      <c r="O10" s="203"/>
      <c r="P10" s="203"/>
      <c r="Q10" s="203"/>
      <c r="R10" s="203"/>
      <c r="S10" s="203"/>
    </row>
    <row r="11" spans="1:19" x14ac:dyDescent="0.2">
      <c r="A11" s="38"/>
      <c r="B11" s="37"/>
      <c r="C11" s="37"/>
      <c r="D11" s="37"/>
      <c r="E11" s="37"/>
      <c r="F11" s="37"/>
      <c r="G11" s="37"/>
      <c r="H11" s="37"/>
      <c r="I11" s="37"/>
      <c r="J11" s="37"/>
      <c r="K11" s="36"/>
      <c r="M11" s="203"/>
      <c r="N11" s="203"/>
      <c r="O11" s="203"/>
      <c r="P11" s="203"/>
      <c r="Q11" s="203"/>
      <c r="R11" s="203"/>
      <c r="S11" s="203"/>
    </row>
    <row r="12" spans="1:19" x14ac:dyDescent="0.2">
      <c r="A12" s="38" t="s">
        <v>353</v>
      </c>
      <c r="B12" s="37" t="s">
        <v>35</v>
      </c>
      <c r="C12" s="37" t="s">
        <v>352</v>
      </c>
      <c r="D12" s="37"/>
      <c r="E12" s="37"/>
      <c r="F12" s="37"/>
      <c r="G12" s="37"/>
      <c r="H12" s="37"/>
      <c r="I12" s="37"/>
      <c r="J12" s="37"/>
      <c r="K12" s="36"/>
    </row>
    <row r="13" spans="1:19" ht="17" thickBot="1" x14ac:dyDescent="0.25">
      <c r="A13" s="38"/>
      <c r="B13" s="40"/>
      <c r="C13" s="37"/>
      <c r="D13" s="37"/>
      <c r="E13" s="37"/>
      <c r="F13" s="37"/>
      <c r="G13" s="37"/>
      <c r="H13" s="37"/>
      <c r="I13" s="37"/>
      <c r="J13" s="37"/>
      <c r="K13" s="36"/>
      <c r="M13" s="64" t="s">
        <v>166</v>
      </c>
    </row>
    <row r="14" spans="1:19" ht="17" thickBot="1" x14ac:dyDescent="0.25">
      <c r="A14" s="35" t="s">
        <v>32</v>
      </c>
      <c r="B14" s="33"/>
      <c r="C14" s="34"/>
      <c r="D14" s="33"/>
      <c r="E14" s="33"/>
      <c r="F14" s="33"/>
      <c r="G14" s="33"/>
      <c r="H14" s="33"/>
      <c r="I14" s="33"/>
      <c r="J14" s="33"/>
      <c r="K14" s="32"/>
      <c r="M14" s="187" t="s">
        <v>351</v>
      </c>
      <c r="N14" s="187"/>
      <c r="O14" s="187"/>
      <c r="P14" s="187"/>
      <c r="Q14" s="187"/>
      <c r="R14" s="187"/>
      <c r="S14" s="187"/>
    </row>
    <row r="15" spans="1:19" x14ac:dyDescent="0.2">
      <c r="M15" s="187"/>
      <c r="N15" s="187"/>
      <c r="O15" s="187"/>
      <c r="P15" s="187"/>
      <c r="Q15" s="187"/>
      <c r="R15" s="187"/>
      <c r="S15" s="187"/>
    </row>
    <row r="17" spans="13:19" x14ac:dyDescent="0.2">
      <c r="M17" s="6" t="s">
        <v>350</v>
      </c>
    </row>
    <row r="18" spans="13:19" x14ac:dyDescent="0.2">
      <c r="M18" s="187" t="s">
        <v>349</v>
      </c>
      <c r="N18" s="187"/>
      <c r="O18" s="187"/>
      <c r="P18" s="187"/>
      <c r="Q18" s="187"/>
      <c r="R18" s="187"/>
      <c r="S18" s="187"/>
    </row>
    <row r="19" spans="13:19" x14ac:dyDescent="0.2">
      <c r="M19" s="187"/>
      <c r="N19" s="187"/>
      <c r="O19" s="187"/>
      <c r="P19" s="187"/>
      <c r="Q19" s="187"/>
      <c r="R19" s="187"/>
      <c r="S19" s="187"/>
    </row>
    <row r="21" spans="13:19" x14ac:dyDescent="0.2">
      <c r="M21" s="64" t="s">
        <v>348</v>
      </c>
    </row>
    <row r="22" spans="13:19" x14ac:dyDescent="0.2">
      <c r="M22" s="187" t="s">
        <v>347</v>
      </c>
      <c r="N22" s="187"/>
      <c r="O22" s="187"/>
      <c r="P22" s="187"/>
      <c r="Q22" s="187"/>
      <c r="R22" s="187"/>
      <c r="S22" s="187"/>
    </row>
    <row r="23" spans="13:19" x14ac:dyDescent="0.2">
      <c r="M23" s="187"/>
      <c r="N23" s="187"/>
      <c r="O23" s="187"/>
      <c r="P23" s="187"/>
      <c r="Q23" s="187"/>
      <c r="R23" s="187"/>
      <c r="S23" s="187"/>
    </row>
    <row r="26" spans="13:19" ht="19" x14ac:dyDescent="0.25">
      <c r="M26" s="72" t="s">
        <v>346</v>
      </c>
    </row>
    <row r="27" spans="13:19" x14ac:dyDescent="0.2">
      <c r="M27" s="1" t="s">
        <v>345</v>
      </c>
    </row>
  </sheetData>
  <mergeCells count="5">
    <mergeCell ref="M4:S6"/>
    <mergeCell ref="M9:S11"/>
    <mergeCell ref="M14:S15"/>
    <mergeCell ref="M18:S19"/>
    <mergeCell ref="M22:S23"/>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C70A8-FD19-274D-AD31-03EA706E280C}">
  <dimension ref="A1:T23"/>
  <sheetViews>
    <sheetView workbookViewId="0">
      <selection activeCell="B1" sqref="B1"/>
    </sheetView>
  </sheetViews>
  <sheetFormatPr baseColWidth="10" defaultColWidth="11" defaultRowHeight="16" outlineLevelCol="1" x14ac:dyDescent="0.2"/>
  <cols>
    <col min="1" max="1" width="4" style="2" customWidth="1"/>
    <col min="2" max="2" width="11.5" style="1" customWidth="1"/>
    <col min="3" max="12" width="11" style="1"/>
    <col min="13" max="19" width="10.83203125" style="1" hidden="1" customWidth="1" outlineLevel="1"/>
    <col min="20" max="20" width="11" style="1" collapsed="1"/>
    <col min="21" max="16384" width="11" style="1"/>
  </cols>
  <sheetData>
    <row r="1" spans="1:19" x14ac:dyDescent="0.2">
      <c r="A1" s="71"/>
      <c r="B1" s="70" t="s">
        <v>70</v>
      </c>
      <c r="C1" s="69" t="s">
        <v>289</v>
      </c>
      <c r="D1" s="69" t="s">
        <v>68</v>
      </c>
      <c r="E1" s="69" t="s">
        <v>194</v>
      </c>
      <c r="F1" s="68"/>
      <c r="G1" s="68"/>
      <c r="H1" s="68"/>
      <c r="I1" s="68"/>
      <c r="J1" s="68"/>
      <c r="K1" s="67"/>
      <c r="L1" s="64" t="s">
        <v>66</v>
      </c>
    </row>
    <row r="2" spans="1:19" x14ac:dyDescent="0.2">
      <c r="A2" s="38"/>
      <c r="B2" s="66" t="s">
        <v>65</v>
      </c>
      <c r="C2" s="65">
        <v>1.5</v>
      </c>
      <c r="D2" s="37"/>
      <c r="E2" s="37"/>
      <c r="F2" s="37"/>
      <c r="G2" s="37"/>
      <c r="H2" s="37"/>
      <c r="I2" s="37"/>
      <c r="J2" s="37"/>
      <c r="K2" s="36"/>
    </row>
    <row r="3" spans="1:19" x14ac:dyDescent="0.2">
      <c r="A3" s="38"/>
      <c r="B3" s="37"/>
      <c r="C3" s="37"/>
      <c r="D3" s="37"/>
      <c r="E3" s="37"/>
      <c r="F3" s="37"/>
      <c r="G3" s="37"/>
      <c r="H3" s="37"/>
      <c r="I3" s="37"/>
      <c r="J3" s="37"/>
      <c r="K3" s="36"/>
      <c r="M3" s="64" t="s">
        <v>64</v>
      </c>
    </row>
    <row r="4" spans="1:19" x14ac:dyDescent="0.2">
      <c r="A4" s="38"/>
      <c r="B4" s="37"/>
      <c r="C4" s="37" t="s">
        <v>288</v>
      </c>
      <c r="D4" s="37"/>
      <c r="E4" s="37"/>
      <c r="F4" s="37"/>
      <c r="G4" s="37"/>
      <c r="H4" s="37"/>
      <c r="I4" s="37"/>
      <c r="J4" s="37"/>
      <c r="K4" s="36"/>
      <c r="M4" s="1" t="s">
        <v>287</v>
      </c>
    </row>
    <row r="5" spans="1:19" x14ac:dyDescent="0.2">
      <c r="A5" s="38"/>
      <c r="B5" s="37"/>
      <c r="C5" s="37" t="s">
        <v>286</v>
      </c>
      <c r="D5" s="37"/>
      <c r="E5" s="37"/>
      <c r="F5" s="37"/>
      <c r="G5" s="37"/>
      <c r="H5" s="37"/>
      <c r="I5" s="37"/>
      <c r="J5" s="37"/>
      <c r="K5" s="36"/>
      <c r="M5" s="1" t="s">
        <v>285</v>
      </c>
    </row>
    <row r="6" spans="1:19" x14ac:dyDescent="0.2">
      <c r="A6" s="38"/>
      <c r="B6" s="37"/>
      <c r="C6" s="37"/>
      <c r="D6" s="37"/>
      <c r="E6" s="37"/>
      <c r="F6" s="37"/>
      <c r="G6" s="37"/>
      <c r="H6" s="37"/>
      <c r="I6" s="37"/>
      <c r="J6" s="37"/>
      <c r="K6" s="36"/>
    </row>
    <row r="7" spans="1:19" x14ac:dyDescent="0.2">
      <c r="A7" s="38"/>
      <c r="B7" s="37"/>
      <c r="C7" s="37" t="s">
        <v>284</v>
      </c>
      <c r="D7" s="37"/>
      <c r="E7" s="37"/>
      <c r="F7" s="37"/>
      <c r="G7" s="37"/>
      <c r="H7" s="37"/>
      <c r="I7" s="37"/>
      <c r="J7" s="37"/>
      <c r="K7" s="36"/>
      <c r="M7" s="64" t="s">
        <v>11</v>
      </c>
    </row>
    <row r="8" spans="1:19" x14ac:dyDescent="0.2">
      <c r="A8" s="38"/>
      <c r="B8" s="37"/>
      <c r="C8" s="37" t="s">
        <v>283</v>
      </c>
      <c r="D8" s="37"/>
      <c r="E8" s="37"/>
      <c r="F8" s="37"/>
      <c r="G8" s="37"/>
      <c r="H8" s="37"/>
      <c r="I8" s="37"/>
      <c r="J8" s="37"/>
      <c r="K8" s="36"/>
      <c r="M8" s="1" t="s">
        <v>282</v>
      </c>
    </row>
    <row r="9" spans="1:19" x14ac:dyDescent="0.2">
      <c r="A9" s="38"/>
      <c r="B9" s="37"/>
      <c r="C9" s="37" t="s">
        <v>281</v>
      </c>
      <c r="D9" s="37"/>
      <c r="E9" s="37"/>
      <c r="F9" s="37"/>
      <c r="G9" s="37"/>
      <c r="H9" s="37"/>
      <c r="I9" s="37"/>
      <c r="J9" s="37"/>
      <c r="K9" s="36"/>
      <c r="M9" s="187" t="s">
        <v>280</v>
      </c>
      <c r="N9" s="187"/>
      <c r="O9" s="187"/>
      <c r="P9" s="187"/>
      <c r="Q9" s="187"/>
      <c r="R9" s="187"/>
      <c r="S9" s="187"/>
    </row>
    <row r="10" spans="1:19" x14ac:dyDescent="0.2">
      <c r="A10" s="38"/>
      <c r="B10" s="37"/>
      <c r="C10" s="37" t="s">
        <v>279</v>
      </c>
      <c r="D10" s="37"/>
      <c r="E10" s="37"/>
      <c r="F10" s="37"/>
      <c r="G10" s="37"/>
      <c r="H10" s="37"/>
      <c r="I10" s="37"/>
      <c r="J10" s="37"/>
      <c r="K10" s="36"/>
      <c r="M10" s="187"/>
      <c r="N10" s="187"/>
      <c r="O10" s="187"/>
      <c r="P10" s="187"/>
      <c r="Q10" s="187"/>
      <c r="R10" s="187"/>
      <c r="S10" s="187"/>
    </row>
    <row r="11" spans="1:19" x14ac:dyDescent="0.2">
      <c r="A11" s="38"/>
      <c r="B11" s="37"/>
      <c r="C11" s="37" t="s">
        <v>278</v>
      </c>
      <c r="D11" s="37"/>
      <c r="E11" s="37"/>
      <c r="F11" s="37"/>
      <c r="G11" s="37"/>
      <c r="H11" s="37"/>
      <c r="I11" s="37"/>
      <c r="J11" s="37"/>
      <c r="K11" s="36"/>
    </row>
    <row r="12" spans="1:19" x14ac:dyDescent="0.2">
      <c r="A12" s="38"/>
      <c r="B12" s="37"/>
      <c r="C12" s="37" t="s">
        <v>277</v>
      </c>
      <c r="D12" s="37"/>
      <c r="E12" s="37"/>
      <c r="F12" s="37"/>
      <c r="G12" s="37"/>
      <c r="H12" s="37"/>
      <c r="I12" s="37"/>
      <c r="J12" s="37"/>
      <c r="K12" s="36"/>
      <c r="M12" s="64" t="s">
        <v>166</v>
      </c>
    </row>
    <row r="13" spans="1:19" x14ac:dyDescent="0.2">
      <c r="A13" s="38"/>
      <c r="B13" s="37"/>
      <c r="C13" s="37"/>
      <c r="D13" s="37"/>
      <c r="E13" s="37"/>
      <c r="F13" s="37"/>
      <c r="G13" s="37"/>
      <c r="H13" s="37"/>
      <c r="I13" s="37"/>
      <c r="J13" s="37"/>
      <c r="K13" s="36"/>
      <c r="M13" s="187" t="s">
        <v>276</v>
      </c>
      <c r="N13" s="187"/>
      <c r="O13" s="187"/>
      <c r="P13" s="187"/>
      <c r="Q13" s="187"/>
      <c r="R13" s="187"/>
      <c r="S13" s="187"/>
    </row>
    <row r="14" spans="1:19" x14ac:dyDescent="0.2">
      <c r="A14" s="38" t="s">
        <v>40</v>
      </c>
      <c r="B14" s="39" t="s">
        <v>35</v>
      </c>
      <c r="C14" s="37" t="s">
        <v>275</v>
      </c>
      <c r="D14" s="37"/>
      <c r="E14" s="37"/>
      <c r="F14" s="37"/>
      <c r="G14" s="37"/>
      <c r="H14" s="37"/>
      <c r="I14" s="37"/>
      <c r="J14" s="37"/>
      <c r="K14" s="36"/>
      <c r="M14" s="187"/>
      <c r="N14" s="187"/>
      <c r="O14" s="187"/>
      <c r="P14" s="187"/>
      <c r="Q14" s="187"/>
      <c r="R14" s="187"/>
      <c r="S14" s="187"/>
    </row>
    <row r="15" spans="1:19" x14ac:dyDescent="0.2">
      <c r="A15" s="38"/>
      <c r="B15" s="39"/>
      <c r="C15" s="37" t="s">
        <v>272</v>
      </c>
      <c r="D15" s="37"/>
      <c r="E15" s="37"/>
      <c r="F15" s="37"/>
      <c r="G15" s="37"/>
      <c r="H15" s="37"/>
      <c r="I15" s="37"/>
      <c r="J15" s="37"/>
      <c r="K15" s="36"/>
      <c r="M15" s="1" t="s">
        <v>274</v>
      </c>
    </row>
    <row r="16" spans="1:19" x14ac:dyDescent="0.2">
      <c r="A16" s="38"/>
      <c r="B16" s="39"/>
      <c r="C16" s="37"/>
      <c r="D16" s="37"/>
      <c r="E16" s="37"/>
      <c r="F16" s="37"/>
      <c r="G16" s="37"/>
      <c r="H16" s="37"/>
      <c r="I16" s="37"/>
      <c r="J16" s="37"/>
      <c r="K16" s="36"/>
    </row>
    <row r="17" spans="1:19" x14ac:dyDescent="0.2">
      <c r="A17" s="38" t="s">
        <v>36</v>
      </c>
      <c r="B17" s="39" t="s">
        <v>35</v>
      </c>
      <c r="C17" s="37" t="s">
        <v>273</v>
      </c>
      <c r="D17" s="37"/>
      <c r="E17" s="37"/>
      <c r="F17" s="37"/>
      <c r="G17" s="37"/>
      <c r="H17" s="37"/>
      <c r="I17" s="37"/>
      <c r="J17" s="37"/>
      <c r="K17" s="36"/>
    </row>
    <row r="18" spans="1:19" ht="19" x14ac:dyDescent="0.25">
      <c r="A18" s="38"/>
      <c r="B18" s="39"/>
      <c r="C18" s="37" t="s">
        <v>272</v>
      </c>
      <c r="D18" s="37"/>
      <c r="E18" s="37"/>
      <c r="F18" s="37"/>
      <c r="G18" s="37"/>
      <c r="H18" s="37"/>
      <c r="I18" s="37"/>
      <c r="J18" s="37"/>
      <c r="K18" s="36"/>
      <c r="M18" s="72" t="s">
        <v>3</v>
      </c>
    </row>
    <row r="19" spans="1:19" x14ac:dyDescent="0.2">
      <c r="A19" s="38"/>
      <c r="B19" s="39"/>
      <c r="C19" s="37"/>
      <c r="D19" s="37"/>
      <c r="E19" s="37"/>
      <c r="F19" s="37"/>
      <c r="G19" s="37"/>
      <c r="H19" s="37"/>
      <c r="I19" s="37"/>
      <c r="J19" s="37"/>
      <c r="K19" s="36"/>
      <c r="M19" s="187" t="s">
        <v>271</v>
      </c>
      <c r="N19" s="187"/>
      <c r="O19" s="187"/>
      <c r="P19" s="187"/>
      <c r="Q19" s="187"/>
      <c r="R19" s="187"/>
      <c r="S19" s="187"/>
    </row>
    <row r="20" spans="1:19" x14ac:dyDescent="0.2">
      <c r="A20" s="38" t="s">
        <v>173</v>
      </c>
      <c r="B20" s="39" t="s">
        <v>35</v>
      </c>
      <c r="C20" s="37" t="s">
        <v>270</v>
      </c>
      <c r="D20" s="37"/>
      <c r="E20" s="37"/>
      <c r="F20" s="37"/>
      <c r="G20" s="37"/>
      <c r="H20" s="37"/>
      <c r="I20" s="37"/>
      <c r="J20" s="37"/>
      <c r="K20" s="36"/>
      <c r="M20" s="187"/>
      <c r="N20" s="187"/>
      <c r="O20" s="187"/>
      <c r="P20" s="187"/>
      <c r="Q20" s="187"/>
      <c r="R20" s="187"/>
      <c r="S20" s="187"/>
    </row>
    <row r="21" spans="1:19" x14ac:dyDescent="0.2">
      <c r="A21" s="38"/>
      <c r="B21" s="40"/>
      <c r="C21" s="37" t="s">
        <v>269</v>
      </c>
      <c r="D21" s="37"/>
      <c r="E21" s="37"/>
      <c r="F21" s="37"/>
      <c r="G21" s="37"/>
      <c r="H21" s="37"/>
      <c r="I21" s="37"/>
      <c r="J21" s="37"/>
      <c r="K21" s="36"/>
    </row>
    <row r="22" spans="1:19" ht="17" thickBot="1" x14ac:dyDescent="0.25">
      <c r="A22" s="38"/>
      <c r="B22" s="40"/>
      <c r="C22" s="37"/>
      <c r="D22" s="37"/>
      <c r="E22" s="37"/>
      <c r="F22" s="37"/>
      <c r="G22" s="37"/>
      <c r="H22" s="37"/>
      <c r="I22" s="37"/>
      <c r="J22" s="37"/>
      <c r="K22" s="36"/>
    </row>
    <row r="23" spans="1:19" ht="17" thickBot="1" x14ac:dyDescent="0.25">
      <c r="A23" s="35" t="s">
        <v>32</v>
      </c>
      <c r="B23" s="33"/>
      <c r="C23" s="34"/>
      <c r="D23" s="33"/>
      <c r="E23" s="33"/>
      <c r="F23" s="33"/>
      <c r="G23" s="33"/>
      <c r="H23" s="33"/>
      <c r="I23" s="33"/>
      <c r="J23" s="33"/>
      <c r="K23" s="32"/>
    </row>
  </sheetData>
  <mergeCells count="3">
    <mergeCell ref="M9:S10"/>
    <mergeCell ref="M13:S14"/>
    <mergeCell ref="M19:S20"/>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0532E-0BC7-AB4E-B517-F5DD7D1EF89E}">
  <dimension ref="A1:X70"/>
  <sheetViews>
    <sheetView workbookViewId="0">
      <selection activeCell="B1" sqref="B1"/>
    </sheetView>
  </sheetViews>
  <sheetFormatPr baseColWidth="10" defaultColWidth="11" defaultRowHeight="16" outlineLevelCol="1" x14ac:dyDescent="0.2"/>
  <cols>
    <col min="1" max="1" width="4" style="2" customWidth="1"/>
    <col min="2" max="2" width="11.5" style="1" customWidth="1"/>
    <col min="3" max="7" width="11" style="1"/>
    <col min="8" max="8" width="4.1640625" style="1" customWidth="1"/>
    <col min="9" max="15" width="11" style="1"/>
    <col min="16" max="22" width="10.83203125" style="1" hidden="1" customWidth="1" outlineLevel="1"/>
    <col min="23" max="23" width="11.83203125" style="1" hidden="1" customWidth="1" outlineLevel="1"/>
    <col min="24" max="24" width="11" style="1" collapsed="1"/>
    <col min="25" max="16384" width="11" style="1"/>
  </cols>
  <sheetData>
    <row r="1" spans="1:22" x14ac:dyDescent="0.2">
      <c r="A1" s="71"/>
      <c r="B1" s="70" t="s">
        <v>70</v>
      </c>
      <c r="C1" s="69" t="s">
        <v>289</v>
      </c>
      <c r="D1" s="69" t="s">
        <v>68</v>
      </c>
      <c r="E1" s="69" t="s">
        <v>308</v>
      </c>
      <c r="F1" s="68"/>
      <c r="G1" s="68"/>
      <c r="H1" s="68"/>
      <c r="I1" s="68"/>
      <c r="J1" s="68"/>
      <c r="K1" s="68"/>
      <c r="L1" s="68"/>
      <c r="M1" s="68"/>
      <c r="N1" s="67"/>
      <c r="O1" s="64" t="s">
        <v>66</v>
      </c>
    </row>
    <row r="2" spans="1:22" x14ac:dyDescent="0.2">
      <c r="A2" s="38"/>
      <c r="B2" s="66" t="s">
        <v>65</v>
      </c>
      <c r="C2" s="65">
        <v>3</v>
      </c>
      <c r="D2" s="37"/>
      <c r="E2" s="37"/>
      <c r="F2" s="37"/>
      <c r="G2" s="37"/>
      <c r="H2" s="37"/>
      <c r="I2" s="37"/>
      <c r="J2" s="37"/>
      <c r="K2" s="37"/>
      <c r="L2" s="37"/>
      <c r="M2" s="37"/>
      <c r="N2" s="36"/>
    </row>
    <row r="3" spans="1:22" x14ac:dyDescent="0.2">
      <c r="A3" s="38"/>
      <c r="B3" s="37"/>
      <c r="C3" s="37"/>
      <c r="D3" s="37"/>
      <c r="E3" s="37"/>
      <c r="F3" s="37"/>
      <c r="G3" s="37"/>
      <c r="H3" s="37"/>
      <c r="I3" s="37"/>
      <c r="J3" s="37"/>
      <c r="K3" s="37"/>
      <c r="L3" s="37"/>
      <c r="M3" s="37"/>
      <c r="N3" s="36"/>
      <c r="P3" s="64" t="s">
        <v>64</v>
      </c>
    </row>
    <row r="4" spans="1:22" x14ac:dyDescent="0.2">
      <c r="A4" s="38"/>
      <c r="B4" s="37"/>
      <c r="C4" s="37" t="s">
        <v>307</v>
      </c>
      <c r="D4" s="37"/>
      <c r="E4" s="37"/>
      <c r="F4" s="37"/>
      <c r="G4" s="37"/>
      <c r="H4" s="37"/>
      <c r="I4" s="37"/>
      <c r="J4" s="37"/>
      <c r="K4" s="37"/>
      <c r="L4" s="37"/>
      <c r="M4" s="37"/>
      <c r="N4" s="36"/>
    </row>
    <row r="5" spans="1:22" x14ac:dyDescent="0.2">
      <c r="A5" s="38"/>
      <c r="B5" s="37"/>
      <c r="C5" s="37" t="s">
        <v>306</v>
      </c>
      <c r="D5" s="37"/>
      <c r="E5" s="37"/>
      <c r="F5" s="37"/>
      <c r="G5" s="37"/>
      <c r="H5" s="37"/>
      <c r="I5" s="37"/>
      <c r="J5" s="37"/>
      <c r="K5" s="37"/>
      <c r="L5" s="37"/>
      <c r="M5" s="37"/>
      <c r="N5" s="36"/>
      <c r="P5" s="1" t="s">
        <v>305</v>
      </c>
    </row>
    <row r="6" spans="1:22" x14ac:dyDescent="0.2">
      <c r="A6" s="38"/>
      <c r="B6" s="37"/>
      <c r="C6" s="37"/>
      <c r="D6" s="37"/>
      <c r="E6" s="37"/>
      <c r="F6" s="37"/>
      <c r="G6" s="37"/>
      <c r="H6" s="37"/>
      <c r="I6" s="37"/>
      <c r="J6" s="37"/>
      <c r="K6" s="37"/>
      <c r="L6" s="37"/>
      <c r="M6" s="37"/>
      <c r="N6" s="36"/>
    </row>
    <row r="7" spans="1:22" x14ac:dyDescent="0.2">
      <c r="A7" s="38"/>
      <c r="B7" s="37"/>
      <c r="C7" s="194" t="s">
        <v>304</v>
      </c>
      <c r="D7" s="194"/>
      <c r="E7" s="194"/>
      <c r="F7" s="194"/>
      <c r="G7" s="194"/>
      <c r="H7" s="37"/>
      <c r="I7" s="194" t="s">
        <v>303</v>
      </c>
      <c r="J7" s="194"/>
      <c r="K7" s="194"/>
      <c r="L7" s="194"/>
      <c r="M7" s="194"/>
      <c r="N7" s="36"/>
      <c r="P7" s="24" t="s">
        <v>21</v>
      </c>
      <c r="Q7" s="114"/>
      <c r="R7" s="114"/>
      <c r="S7" s="114"/>
      <c r="T7" s="114"/>
    </row>
    <row r="8" spans="1:22" ht="17" x14ac:dyDescent="0.2">
      <c r="A8" s="38"/>
      <c r="B8" s="37"/>
      <c r="C8" s="63" t="s">
        <v>21</v>
      </c>
      <c r="D8" s="62"/>
      <c r="E8" s="146"/>
      <c r="F8" s="62"/>
      <c r="G8" s="61"/>
      <c r="H8" s="37"/>
      <c r="I8" s="62" t="s">
        <v>21</v>
      </c>
      <c r="J8" s="146"/>
      <c r="K8" s="62"/>
      <c r="L8" s="146"/>
      <c r="M8" s="62"/>
      <c r="N8" s="36"/>
      <c r="P8" s="16" t="s">
        <v>17</v>
      </c>
      <c r="Q8" s="111">
        <v>12</v>
      </c>
      <c r="R8" s="111">
        <v>24</v>
      </c>
      <c r="S8" s="111">
        <v>36</v>
      </c>
      <c r="T8" s="111">
        <v>48</v>
      </c>
    </row>
    <row r="9" spans="1:22" x14ac:dyDescent="0.2">
      <c r="A9" s="38"/>
      <c r="B9" s="37"/>
      <c r="C9" s="55" t="s">
        <v>17</v>
      </c>
      <c r="D9" s="42">
        <v>12</v>
      </c>
      <c r="E9" s="144">
        <v>24</v>
      </c>
      <c r="F9" s="42">
        <v>36</v>
      </c>
      <c r="G9" s="54">
        <v>48</v>
      </c>
      <c r="H9" s="37"/>
      <c r="I9" s="42" t="s">
        <v>17</v>
      </c>
      <c r="J9" s="144">
        <v>12</v>
      </c>
      <c r="K9" s="42">
        <v>24</v>
      </c>
      <c r="L9" s="144">
        <v>36</v>
      </c>
      <c r="M9" s="42">
        <v>48</v>
      </c>
      <c r="N9" s="36"/>
      <c r="P9" s="11">
        <f>C10</f>
        <v>2012</v>
      </c>
      <c r="Q9" s="28">
        <f>D10/D18</f>
        <v>0.72499999999999998</v>
      </c>
      <c r="R9" s="28">
        <f>E10/E18</f>
        <v>0.89552238805970152</v>
      </c>
      <c r="S9" s="169">
        <f>F10/F18</f>
        <v>0.93055555555555558</v>
      </c>
      <c r="T9" s="169">
        <f>G10/G18</f>
        <v>0.96575342465753422</v>
      </c>
    </row>
    <row r="10" spans="1:22" x14ac:dyDescent="0.2">
      <c r="A10" s="38"/>
      <c r="B10" s="37"/>
      <c r="C10" s="42">
        <v>2012</v>
      </c>
      <c r="D10" s="42">
        <v>435</v>
      </c>
      <c r="E10" s="42">
        <v>600</v>
      </c>
      <c r="F10" s="42">
        <v>670</v>
      </c>
      <c r="G10" s="42">
        <v>705</v>
      </c>
      <c r="H10" s="37"/>
      <c r="I10" s="42">
        <v>2012</v>
      </c>
      <c r="J10" s="42">
        <v>393</v>
      </c>
      <c r="K10" s="42">
        <v>650</v>
      </c>
      <c r="L10" s="42">
        <v>765</v>
      </c>
      <c r="M10" s="42">
        <v>776</v>
      </c>
      <c r="N10" s="36"/>
      <c r="P10" s="11">
        <f>C11</f>
        <v>2013</v>
      </c>
      <c r="Q10" s="28">
        <f>D11/D19</f>
        <v>0.8125</v>
      </c>
      <c r="R10" s="169">
        <f>E11/E19</f>
        <v>0.97902097902097907</v>
      </c>
      <c r="S10" s="169">
        <f>F11/F19</f>
        <v>0.98666666666666669</v>
      </c>
      <c r="T10" s="28"/>
    </row>
    <row r="11" spans="1:22" x14ac:dyDescent="0.2">
      <c r="A11" s="38"/>
      <c r="B11" s="37"/>
      <c r="C11" s="51">
        <v>2013</v>
      </c>
      <c r="D11" s="51">
        <v>520</v>
      </c>
      <c r="E11" s="51">
        <v>700</v>
      </c>
      <c r="F11" s="51">
        <v>740</v>
      </c>
      <c r="G11" s="51"/>
      <c r="H11" s="37"/>
      <c r="I11" s="51">
        <v>2013</v>
      </c>
      <c r="J11" s="51">
        <v>511</v>
      </c>
      <c r="K11" s="51">
        <v>697</v>
      </c>
      <c r="L11" s="51">
        <v>744</v>
      </c>
      <c r="M11" s="51"/>
      <c r="N11" s="36"/>
      <c r="P11" s="11">
        <f>C12</f>
        <v>2014</v>
      </c>
      <c r="Q11" s="169">
        <f>D12/D20</f>
        <v>0.967741935483871</v>
      </c>
      <c r="R11" s="169">
        <f>E12/E20</f>
        <v>0.94202898550724634</v>
      </c>
      <c r="S11" s="28"/>
      <c r="T11" s="28"/>
    </row>
    <row r="12" spans="1:22" x14ac:dyDescent="0.2">
      <c r="A12" s="38"/>
      <c r="B12" s="37"/>
      <c r="C12" s="51">
        <v>2014</v>
      </c>
      <c r="D12" s="51">
        <v>600</v>
      </c>
      <c r="E12" s="51">
        <v>650</v>
      </c>
      <c r="F12" s="51"/>
      <c r="G12" s="51"/>
      <c r="H12" s="37"/>
      <c r="I12" s="51">
        <v>2014</v>
      </c>
      <c r="J12" s="51">
        <v>637</v>
      </c>
      <c r="K12" s="51">
        <v>825</v>
      </c>
      <c r="L12" s="51"/>
      <c r="M12" s="51"/>
      <c r="N12" s="36"/>
      <c r="P12" s="11">
        <f>C13</f>
        <v>2015</v>
      </c>
      <c r="Q12" s="169">
        <f>D13/D21</f>
        <v>0.9538461538461539</v>
      </c>
      <c r="R12" s="28"/>
      <c r="S12" s="28"/>
      <c r="T12" s="28"/>
    </row>
    <row r="13" spans="1:22" x14ac:dyDescent="0.2">
      <c r="A13" s="38"/>
      <c r="B13" s="40"/>
      <c r="C13" s="51">
        <v>2015</v>
      </c>
      <c r="D13" s="51">
        <v>620</v>
      </c>
      <c r="E13" s="51"/>
      <c r="F13" s="51"/>
      <c r="G13" s="51"/>
      <c r="H13" s="37"/>
      <c r="I13" s="51">
        <v>2015</v>
      </c>
      <c r="J13" s="51">
        <v>722</v>
      </c>
      <c r="K13" s="51"/>
      <c r="L13" s="51"/>
      <c r="M13" s="51"/>
      <c r="N13" s="36"/>
    </row>
    <row r="14" spans="1:22" x14ac:dyDescent="0.2">
      <c r="A14" s="38"/>
      <c r="B14" s="40"/>
      <c r="C14" s="37"/>
      <c r="D14" s="37"/>
      <c r="E14" s="37"/>
      <c r="F14" s="37"/>
      <c r="G14" s="37"/>
      <c r="H14" s="37"/>
      <c r="I14" s="37"/>
      <c r="J14" s="37"/>
      <c r="K14" s="37"/>
      <c r="L14" s="37"/>
      <c r="M14" s="37"/>
      <c r="N14" s="36"/>
      <c r="P14" s="187" t="s">
        <v>302</v>
      </c>
      <c r="Q14" s="187"/>
      <c r="R14" s="187"/>
      <c r="S14" s="187"/>
      <c r="T14" s="187"/>
      <c r="U14" s="187"/>
      <c r="V14" s="187"/>
    </row>
    <row r="15" spans="1:22" x14ac:dyDescent="0.2">
      <c r="A15" s="38"/>
      <c r="B15" s="40"/>
      <c r="C15" s="194" t="s">
        <v>301</v>
      </c>
      <c r="D15" s="194"/>
      <c r="E15" s="194"/>
      <c r="F15" s="194"/>
      <c r="G15" s="194"/>
      <c r="H15" s="37"/>
      <c r="I15" s="194" t="s">
        <v>300</v>
      </c>
      <c r="J15" s="194"/>
      <c r="K15" s="194"/>
      <c r="L15" s="194"/>
      <c r="M15" s="194"/>
      <c r="N15" s="36"/>
      <c r="P15" s="187"/>
      <c r="Q15" s="187"/>
      <c r="R15" s="187"/>
      <c r="S15" s="187"/>
      <c r="T15" s="187"/>
      <c r="U15" s="187"/>
      <c r="V15" s="187"/>
    </row>
    <row r="16" spans="1:22" x14ac:dyDescent="0.2">
      <c r="A16" s="38"/>
      <c r="B16" s="40"/>
      <c r="C16" s="63" t="s">
        <v>21</v>
      </c>
      <c r="D16" s="62"/>
      <c r="E16" s="146"/>
      <c r="F16" s="62"/>
      <c r="G16" s="61"/>
      <c r="H16" s="37"/>
      <c r="I16" s="63" t="s">
        <v>21</v>
      </c>
      <c r="J16" s="62"/>
      <c r="K16" s="146"/>
      <c r="L16" s="62"/>
      <c r="M16" s="61"/>
      <c r="N16" s="36"/>
    </row>
    <row r="17" spans="1:23" x14ac:dyDescent="0.2">
      <c r="A17" s="38"/>
      <c r="B17" s="40"/>
      <c r="C17" s="55" t="s">
        <v>17</v>
      </c>
      <c r="D17" s="42">
        <v>12</v>
      </c>
      <c r="E17" s="144">
        <v>24</v>
      </c>
      <c r="F17" s="42">
        <v>36</v>
      </c>
      <c r="G17" s="54">
        <v>48</v>
      </c>
      <c r="H17" s="37"/>
      <c r="I17" s="55" t="s">
        <v>17</v>
      </c>
      <c r="J17" s="42">
        <v>12</v>
      </c>
      <c r="K17" s="144">
        <v>24</v>
      </c>
      <c r="L17" s="42">
        <v>36</v>
      </c>
      <c r="M17" s="54">
        <v>48</v>
      </c>
      <c r="N17" s="36"/>
    </row>
    <row r="18" spans="1:23" x14ac:dyDescent="0.2">
      <c r="A18" s="38"/>
      <c r="B18" s="40"/>
      <c r="C18" s="42">
        <v>2012</v>
      </c>
      <c r="D18" s="42">
        <v>600</v>
      </c>
      <c r="E18" s="42">
        <v>670</v>
      </c>
      <c r="F18" s="42">
        <v>720</v>
      </c>
      <c r="G18" s="42">
        <v>730</v>
      </c>
      <c r="H18" s="37"/>
      <c r="I18" s="42">
        <v>2012</v>
      </c>
      <c r="J18" s="42">
        <v>560</v>
      </c>
      <c r="K18" s="42">
        <v>720</v>
      </c>
      <c r="L18" s="42">
        <v>780</v>
      </c>
      <c r="M18" s="42">
        <v>790</v>
      </c>
      <c r="N18" s="36"/>
      <c r="P18" s="64" t="s">
        <v>11</v>
      </c>
    </row>
    <row r="19" spans="1:23" x14ac:dyDescent="0.2">
      <c r="A19" s="38"/>
      <c r="B19" s="40"/>
      <c r="C19" s="51">
        <v>2013</v>
      </c>
      <c r="D19" s="51">
        <v>640</v>
      </c>
      <c r="E19" s="51">
        <v>715</v>
      </c>
      <c r="F19" s="51">
        <v>750</v>
      </c>
      <c r="G19" s="51"/>
      <c r="H19" s="37"/>
      <c r="I19" s="51">
        <v>2013</v>
      </c>
      <c r="J19" s="51">
        <v>580</v>
      </c>
      <c r="K19" s="51">
        <v>720</v>
      </c>
      <c r="L19" s="51">
        <v>760</v>
      </c>
      <c r="M19" s="51"/>
      <c r="N19" s="36"/>
      <c r="P19" s="1" t="s">
        <v>299</v>
      </c>
    </row>
    <row r="20" spans="1:23" x14ac:dyDescent="0.2">
      <c r="A20" s="38"/>
      <c r="B20" s="40"/>
      <c r="C20" s="51">
        <v>2014</v>
      </c>
      <c r="D20" s="51">
        <v>620</v>
      </c>
      <c r="E20" s="51">
        <v>690</v>
      </c>
      <c r="F20" s="51"/>
      <c r="G20" s="51"/>
      <c r="H20" s="37"/>
      <c r="I20" s="51">
        <v>2014</v>
      </c>
      <c r="J20" s="51">
        <v>670</v>
      </c>
      <c r="K20" s="51">
        <v>850</v>
      </c>
      <c r="L20" s="51"/>
      <c r="M20" s="51"/>
      <c r="N20" s="36"/>
    </row>
    <row r="21" spans="1:23" x14ac:dyDescent="0.2">
      <c r="A21" s="38"/>
      <c r="B21" s="40"/>
      <c r="C21" s="51">
        <v>2015</v>
      </c>
      <c r="D21" s="51">
        <v>650</v>
      </c>
      <c r="E21" s="51"/>
      <c r="F21" s="51"/>
      <c r="G21" s="51"/>
      <c r="H21" s="37"/>
      <c r="I21" s="51">
        <v>2015</v>
      </c>
      <c r="J21" s="51">
        <v>760</v>
      </c>
      <c r="K21" s="51"/>
      <c r="L21" s="51"/>
      <c r="M21" s="51"/>
      <c r="N21" s="36"/>
      <c r="P21" s="5"/>
      <c r="Q21" s="5"/>
      <c r="R21" s="5"/>
      <c r="S21" s="5"/>
      <c r="T21" s="5"/>
      <c r="U21" s="5"/>
      <c r="V21" s="5"/>
      <c r="W21" s="5"/>
    </row>
    <row r="22" spans="1:23" x14ac:dyDescent="0.2">
      <c r="A22" s="38"/>
      <c r="B22" s="40"/>
      <c r="C22" s="37"/>
      <c r="D22" s="37"/>
      <c r="E22" s="37"/>
      <c r="F22" s="37"/>
      <c r="G22" s="37"/>
      <c r="H22" s="37"/>
      <c r="I22" s="37"/>
      <c r="J22" s="37"/>
      <c r="K22" s="37"/>
      <c r="L22" s="37"/>
      <c r="M22" s="37"/>
      <c r="N22" s="36"/>
      <c r="P22" s="186" t="s">
        <v>124</v>
      </c>
      <c r="Q22" s="186"/>
      <c r="R22" s="186"/>
      <c r="S22" s="186"/>
      <c r="T22" s="186"/>
      <c r="U22" s="114"/>
      <c r="V22" s="5"/>
      <c r="W22" s="5"/>
    </row>
    <row r="23" spans="1:23" x14ac:dyDescent="0.2">
      <c r="A23" s="38"/>
      <c r="B23" s="40"/>
      <c r="C23" s="37" t="s">
        <v>298</v>
      </c>
      <c r="D23" s="37"/>
      <c r="E23" s="37"/>
      <c r="F23" s="37"/>
      <c r="G23" s="39">
        <v>1.03</v>
      </c>
      <c r="H23" s="37"/>
      <c r="I23" s="37"/>
      <c r="J23" s="37"/>
      <c r="K23" s="37"/>
      <c r="L23" s="37"/>
      <c r="M23" s="37"/>
      <c r="N23" s="36"/>
      <c r="P23" s="24" t="s">
        <v>21</v>
      </c>
      <c r="Q23" s="10"/>
      <c r="R23" s="10"/>
      <c r="S23" s="10"/>
      <c r="T23" s="10"/>
      <c r="U23" s="10"/>
      <c r="V23" s="5"/>
      <c r="W23" s="5"/>
    </row>
    <row r="24" spans="1:23" ht="17" x14ac:dyDescent="0.2">
      <c r="A24" s="38"/>
      <c r="B24" s="40"/>
      <c r="C24" s="37" t="s">
        <v>297</v>
      </c>
      <c r="D24" s="37"/>
      <c r="E24" s="37"/>
      <c r="F24" s="37"/>
      <c r="G24" s="39">
        <v>1.06</v>
      </c>
      <c r="H24" s="37"/>
      <c r="I24" s="37"/>
      <c r="J24" s="37"/>
      <c r="K24" s="37"/>
      <c r="L24" s="37"/>
      <c r="M24" s="37"/>
      <c r="N24" s="36"/>
      <c r="P24" s="16" t="s">
        <v>17</v>
      </c>
      <c r="Q24" s="112" t="s">
        <v>113</v>
      </c>
      <c r="R24" s="111" t="s">
        <v>112</v>
      </c>
      <c r="S24" s="111" t="s">
        <v>111</v>
      </c>
      <c r="T24" s="108"/>
      <c r="U24" s="108"/>
      <c r="V24" s="5"/>
      <c r="W24" s="5"/>
    </row>
    <row r="25" spans="1:23" x14ac:dyDescent="0.2">
      <c r="A25" s="38"/>
      <c r="B25" s="40"/>
      <c r="C25" s="37" t="s">
        <v>296</v>
      </c>
      <c r="D25" s="37"/>
      <c r="E25" s="37"/>
      <c r="F25" s="37"/>
      <c r="G25" s="39">
        <v>1.1499999999999999</v>
      </c>
      <c r="H25" s="37"/>
      <c r="I25" s="37"/>
      <c r="J25" s="37"/>
      <c r="K25" s="37"/>
      <c r="L25" s="37"/>
      <c r="M25" s="37"/>
      <c r="N25" s="36"/>
      <c r="P25" s="11">
        <f>C18</f>
        <v>2012</v>
      </c>
      <c r="Q25" s="108">
        <f>E18/D18</f>
        <v>1.1166666666666667</v>
      </c>
      <c r="R25" s="108">
        <f>F18/E18</f>
        <v>1.0746268656716418</v>
      </c>
      <c r="S25" s="108">
        <f>G18/F18</f>
        <v>1.0138888888888888</v>
      </c>
      <c r="T25" s="108"/>
      <c r="U25" s="108"/>
      <c r="V25" s="5"/>
      <c r="W25" s="5"/>
    </row>
    <row r="26" spans="1:23" x14ac:dyDescent="0.2">
      <c r="A26" s="38"/>
      <c r="B26" s="40"/>
      <c r="C26" s="37" t="s">
        <v>295</v>
      </c>
      <c r="D26" s="37"/>
      <c r="E26" s="37"/>
      <c r="F26" s="37"/>
      <c r="G26" s="39">
        <v>1.02</v>
      </c>
      <c r="H26" s="37"/>
      <c r="I26" s="37"/>
      <c r="J26" s="37"/>
      <c r="K26" s="37"/>
      <c r="L26" s="37"/>
      <c r="M26" s="37"/>
      <c r="N26" s="36"/>
      <c r="P26" s="11">
        <f>C19</f>
        <v>2013</v>
      </c>
      <c r="Q26" s="108">
        <f>E19/D19</f>
        <v>1.1171875</v>
      </c>
      <c r="R26" s="108">
        <f>F19/E19</f>
        <v>1.048951048951049</v>
      </c>
      <c r="S26" s="108"/>
      <c r="T26" s="108"/>
      <c r="U26" s="108"/>
      <c r="V26" s="5"/>
      <c r="W26" s="5"/>
    </row>
    <row r="27" spans="1:23" x14ac:dyDescent="0.2">
      <c r="A27" s="38"/>
      <c r="B27" s="40"/>
      <c r="C27" s="37"/>
      <c r="D27" s="37"/>
      <c r="E27" s="37"/>
      <c r="F27" s="37"/>
      <c r="G27" s="37"/>
      <c r="H27" s="37"/>
      <c r="I27" s="37"/>
      <c r="J27" s="37"/>
      <c r="K27" s="37"/>
      <c r="L27" s="37"/>
      <c r="M27" s="37"/>
      <c r="N27" s="36"/>
      <c r="P27" s="11">
        <f>C20</f>
        <v>2014</v>
      </c>
      <c r="Q27" s="108">
        <f>E20/D20</f>
        <v>1.1129032258064515</v>
      </c>
      <c r="R27" s="108"/>
      <c r="S27" s="108"/>
      <c r="T27" s="108"/>
      <c r="U27" s="108"/>
      <c r="V27" s="5"/>
      <c r="W27" s="5"/>
    </row>
    <row r="28" spans="1:23" x14ac:dyDescent="0.2">
      <c r="A28" s="38" t="s">
        <v>40</v>
      </c>
      <c r="B28" s="39" t="s">
        <v>35</v>
      </c>
      <c r="C28" s="37" t="s">
        <v>294</v>
      </c>
      <c r="D28" s="37"/>
      <c r="E28" s="37"/>
      <c r="F28" s="37"/>
      <c r="G28" s="37"/>
      <c r="H28" s="37"/>
      <c r="I28" s="37"/>
      <c r="J28" s="37"/>
      <c r="K28" s="37"/>
      <c r="L28" s="37"/>
      <c r="M28" s="37"/>
      <c r="N28" s="36"/>
      <c r="P28" s="10"/>
      <c r="Q28" s="10"/>
      <c r="R28" s="10"/>
      <c r="S28" s="10"/>
      <c r="T28" s="10"/>
      <c r="U28" s="10"/>
      <c r="V28" s="10"/>
      <c r="W28" s="5"/>
    </row>
    <row r="29" spans="1:23" ht="17" x14ac:dyDescent="0.2">
      <c r="A29" s="38"/>
      <c r="B29" s="40"/>
      <c r="C29" s="37"/>
      <c r="D29" s="37"/>
      <c r="E29" s="37"/>
      <c r="F29" s="37"/>
      <c r="G29" s="37"/>
      <c r="H29" s="37"/>
      <c r="I29" s="37"/>
      <c r="J29" s="37"/>
      <c r="K29" s="37"/>
      <c r="L29" s="37"/>
      <c r="M29" s="37"/>
      <c r="N29" s="36"/>
      <c r="P29" s="16"/>
      <c r="Q29" s="112" t="s">
        <v>113</v>
      </c>
      <c r="R29" s="111" t="s">
        <v>112</v>
      </c>
      <c r="S29" s="111" t="s">
        <v>111</v>
      </c>
      <c r="T29" s="111" t="s">
        <v>110</v>
      </c>
      <c r="U29" s="10"/>
      <c r="V29" s="10"/>
      <c r="W29" s="5"/>
    </row>
    <row r="30" spans="1:23" x14ac:dyDescent="0.2">
      <c r="A30" s="38" t="s">
        <v>36</v>
      </c>
      <c r="B30" s="39" t="s">
        <v>293</v>
      </c>
      <c r="C30" s="37" t="s">
        <v>292</v>
      </c>
      <c r="D30" s="37"/>
      <c r="E30" s="37"/>
      <c r="F30" s="37"/>
      <c r="G30" s="37"/>
      <c r="H30" s="37"/>
      <c r="I30" s="37"/>
      <c r="J30" s="37"/>
      <c r="K30" s="37"/>
      <c r="L30" s="37"/>
      <c r="M30" s="37"/>
      <c r="N30" s="36"/>
      <c r="P30" s="110" t="s">
        <v>109</v>
      </c>
      <c r="Q30" s="108">
        <f>AVERAGE(Q25:Q27)</f>
        <v>1.1155857974910395</v>
      </c>
      <c r="R30" s="108">
        <f>AVERAGE(R25:R27)</f>
        <v>1.0617889573113453</v>
      </c>
      <c r="S30" s="108">
        <f>AVERAGE(S25:S27)</f>
        <v>1.0138888888888888</v>
      </c>
      <c r="T30" s="108">
        <f>G23</f>
        <v>1.03</v>
      </c>
      <c r="U30" s="10"/>
      <c r="V30" s="10"/>
      <c r="W30" s="5"/>
    </row>
    <row r="31" spans="1:23" ht="17" thickBot="1" x14ac:dyDescent="0.25">
      <c r="A31" s="38"/>
      <c r="B31" s="40"/>
      <c r="C31" s="37"/>
      <c r="D31" s="37"/>
      <c r="E31" s="37"/>
      <c r="F31" s="37"/>
      <c r="G31" s="37"/>
      <c r="H31" s="37"/>
      <c r="I31" s="37"/>
      <c r="J31" s="37"/>
      <c r="K31" s="37"/>
      <c r="L31" s="37"/>
      <c r="M31" s="37"/>
      <c r="N31" s="36"/>
      <c r="P31" s="110" t="s">
        <v>104</v>
      </c>
      <c r="Q31" s="109">
        <f>Q30*R31</f>
        <v>1.2369973503130069</v>
      </c>
      <c r="R31" s="109">
        <f>R30*S31</f>
        <v>1.1088321069477785</v>
      </c>
      <c r="S31" s="109">
        <f>S30*T31</f>
        <v>1.0443055555555556</v>
      </c>
      <c r="T31" s="109">
        <f>T30</f>
        <v>1.03</v>
      </c>
      <c r="U31" s="10"/>
      <c r="V31" s="10"/>
      <c r="W31" s="5"/>
    </row>
    <row r="32" spans="1:23" ht="17" thickBot="1" x14ac:dyDescent="0.25">
      <c r="A32" s="35" t="s">
        <v>32</v>
      </c>
      <c r="B32" s="33"/>
      <c r="C32" s="34"/>
      <c r="D32" s="33"/>
      <c r="E32" s="33"/>
      <c r="F32" s="33"/>
      <c r="G32" s="33"/>
      <c r="H32" s="33"/>
      <c r="I32" s="33"/>
      <c r="J32" s="33"/>
      <c r="K32" s="33"/>
      <c r="L32" s="33"/>
      <c r="M32" s="33"/>
      <c r="N32" s="32"/>
      <c r="P32" s="10"/>
      <c r="Q32" s="10"/>
      <c r="R32" s="10"/>
      <c r="S32" s="10"/>
      <c r="T32" s="10"/>
      <c r="U32" s="10"/>
      <c r="V32" s="10"/>
      <c r="W32" s="5"/>
    </row>
    <row r="33" spans="16:23" x14ac:dyDescent="0.2">
      <c r="P33" s="186" t="s">
        <v>122</v>
      </c>
      <c r="Q33" s="186"/>
      <c r="R33" s="186"/>
      <c r="S33" s="186"/>
      <c r="T33" s="186"/>
      <c r="U33" s="114"/>
      <c r="V33" s="10"/>
      <c r="W33" s="5"/>
    </row>
    <row r="34" spans="16:23" x14ac:dyDescent="0.2">
      <c r="P34" s="24" t="s">
        <v>21</v>
      </c>
      <c r="Q34" s="114"/>
      <c r="R34" s="114"/>
      <c r="S34" s="114"/>
      <c r="T34" s="114"/>
      <c r="U34" s="9"/>
      <c r="V34" s="9"/>
      <c r="W34" s="5"/>
    </row>
    <row r="35" spans="16:23" ht="17" x14ac:dyDescent="0.2">
      <c r="P35" s="16" t="s">
        <v>17</v>
      </c>
      <c r="Q35" s="111">
        <v>12</v>
      </c>
      <c r="R35" s="111">
        <v>24</v>
      </c>
      <c r="S35" s="111">
        <v>36</v>
      </c>
      <c r="T35" s="111">
        <v>48</v>
      </c>
      <c r="U35" s="9"/>
      <c r="V35" s="9"/>
      <c r="W35" s="5"/>
    </row>
    <row r="36" spans="16:23" x14ac:dyDescent="0.2">
      <c r="P36" s="11">
        <f>I18</f>
        <v>2012</v>
      </c>
      <c r="Q36" s="9">
        <f>J18*1000/D18</f>
        <v>933.33333333333337</v>
      </c>
      <c r="R36" s="9">
        <f>K18*1000/E18</f>
        <v>1074.6268656716418</v>
      </c>
      <c r="S36" s="9">
        <f>L18*1000/F18</f>
        <v>1083.3333333333333</v>
      </c>
      <c r="T36" s="9">
        <f>M18*1000/G18</f>
        <v>1082.1917808219177</v>
      </c>
      <c r="U36" s="9"/>
      <c r="V36" s="9"/>
      <c r="W36" s="9"/>
    </row>
    <row r="37" spans="16:23" x14ac:dyDescent="0.2">
      <c r="P37" s="11">
        <f>I19</f>
        <v>2013</v>
      </c>
      <c r="Q37" s="9">
        <f>J19*1000/D19</f>
        <v>906.25</v>
      </c>
      <c r="R37" s="9">
        <f>K19*1000/E19</f>
        <v>1006.993006993007</v>
      </c>
      <c r="S37" s="9">
        <f>L19*1000/F19</f>
        <v>1013.3333333333334</v>
      </c>
      <c r="T37" s="9"/>
      <c r="U37" s="9"/>
      <c r="V37" s="9"/>
      <c r="W37" s="9"/>
    </row>
    <row r="38" spans="16:23" x14ac:dyDescent="0.2">
      <c r="P38" s="11">
        <f>I20</f>
        <v>2014</v>
      </c>
      <c r="Q38" s="9">
        <f>J20*1000/D20</f>
        <v>1080.6451612903227</v>
      </c>
      <c r="R38" s="9">
        <f>K20*1000/E20</f>
        <v>1231.8840579710145</v>
      </c>
      <c r="S38" s="9"/>
      <c r="T38" s="9"/>
      <c r="U38" s="9"/>
      <c r="V38" s="9"/>
      <c r="W38" s="9"/>
    </row>
    <row r="39" spans="16:23" x14ac:dyDescent="0.2">
      <c r="P39" s="11">
        <f>I21</f>
        <v>2015</v>
      </c>
      <c r="Q39" s="9">
        <f>J21*1000/D21</f>
        <v>1169.2307692307693</v>
      </c>
      <c r="R39" s="9"/>
      <c r="S39" s="9"/>
      <c r="T39" s="9"/>
      <c r="U39" s="9"/>
      <c r="V39" s="9"/>
      <c r="W39" s="9"/>
    </row>
    <row r="40" spans="16:23" x14ac:dyDescent="0.2">
      <c r="P40" s="5"/>
      <c r="Q40" s="5"/>
      <c r="R40" s="5"/>
      <c r="S40" s="5"/>
      <c r="T40" s="5"/>
      <c r="U40" s="5"/>
      <c r="V40" s="5"/>
      <c r="W40" s="5"/>
    </row>
    <row r="41" spans="16:23" x14ac:dyDescent="0.2">
      <c r="P41" s="186" t="s">
        <v>118</v>
      </c>
      <c r="Q41" s="186"/>
      <c r="R41" s="186"/>
      <c r="S41" s="186"/>
      <c r="T41" s="186"/>
      <c r="U41" s="114"/>
      <c r="V41" s="5"/>
      <c r="W41" s="5"/>
    </row>
    <row r="42" spans="16:23" x14ac:dyDescent="0.2">
      <c r="P42" s="24" t="s">
        <v>21</v>
      </c>
      <c r="Q42" s="10"/>
      <c r="R42" s="10"/>
      <c r="S42" s="10"/>
      <c r="T42" s="10"/>
      <c r="U42" s="10"/>
      <c r="V42" s="5"/>
      <c r="W42" s="5"/>
    </row>
    <row r="43" spans="16:23" ht="17" x14ac:dyDescent="0.2">
      <c r="P43" s="16" t="s">
        <v>17</v>
      </c>
      <c r="Q43" s="112" t="s">
        <v>113</v>
      </c>
      <c r="R43" s="111" t="s">
        <v>112</v>
      </c>
      <c r="S43" s="111" t="s">
        <v>111</v>
      </c>
      <c r="T43" s="108"/>
      <c r="U43" s="108"/>
      <c r="V43" s="5"/>
      <c r="W43" s="5"/>
    </row>
    <row r="44" spans="16:23" x14ac:dyDescent="0.2">
      <c r="P44" s="11">
        <f>P25</f>
        <v>2012</v>
      </c>
      <c r="Q44" s="108">
        <f>R36/Q36</f>
        <v>1.1513859275053304</v>
      </c>
      <c r="R44" s="108">
        <f>S36/R36</f>
        <v>1.0081018518518519</v>
      </c>
      <c r="S44" s="108">
        <f>T36/S36</f>
        <v>0.99894625922023184</v>
      </c>
      <c r="T44" s="108"/>
      <c r="U44" s="108"/>
      <c r="V44" s="5"/>
      <c r="W44" s="5"/>
    </row>
    <row r="45" spans="16:23" x14ac:dyDescent="0.2">
      <c r="P45" s="11">
        <f>P26</f>
        <v>2013</v>
      </c>
      <c r="Q45" s="108">
        <f>R37/Q37</f>
        <v>1.1111646973715941</v>
      </c>
      <c r="R45" s="108">
        <f>S37/R37</f>
        <v>1.0062962962962962</v>
      </c>
      <c r="S45" s="108"/>
      <c r="T45" s="108"/>
      <c r="U45" s="108"/>
      <c r="V45" s="5"/>
      <c r="W45" s="5"/>
    </row>
    <row r="46" spans="16:23" x14ac:dyDescent="0.2">
      <c r="P46" s="11">
        <f>P27</f>
        <v>2014</v>
      </c>
      <c r="Q46" s="108">
        <f>R38/Q38</f>
        <v>1.1399524118537745</v>
      </c>
      <c r="R46" s="108"/>
      <c r="S46" s="108"/>
      <c r="T46" s="108"/>
      <c r="U46" s="108"/>
      <c r="V46" s="5"/>
      <c r="W46" s="10"/>
    </row>
    <row r="47" spans="16:23" x14ac:dyDescent="0.2">
      <c r="P47" s="10"/>
      <c r="Q47" s="10"/>
      <c r="R47" s="10"/>
      <c r="S47" s="10"/>
      <c r="T47" s="10"/>
      <c r="U47" s="10"/>
      <c r="V47" s="10"/>
      <c r="W47" s="10"/>
    </row>
    <row r="48" spans="16:23" ht="17" x14ac:dyDescent="0.2">
      <c r="P48" s="16"/>
      <c r="Q48" s="112" t="s">
        <v>113</v>
      </c>
      <c r="R48" s="111" t="s">
        <v>112</v>
      </c>
      <c r="S48" s="111" t="s">
        <v>111</v>
      </c>
      <c r="T48" s="111" t="s">
        <v>110</v>
      </c>
      <c r="U48" s="10"/>
      <c r="V48" s="10"/>
      <c r="W48" s="10"/>
    </row>
    <row r="49" spans="16:23" x14ac:dyDescent="0.2">
      <c r="P49" s="110" t="s">
        <v>109</v>
      </c>
      <c r="Q49" s="108">
        <f>AVERAGE(Q44:Q46)</f>
        <v>1.1341676789102328</v>
      </c>
      <c r="R49" s="108">
        <f>AVERAGE(R44:R46)</f>
        <v>1.0071990740740739</v>
      </c>
      <c r="S49" s="108">
        <f>AVERAGE(S44:S46)</f>
        <v>0.99894625922023184</v>
      </c>
      <c r="T49" s="108">
        <f>G26</f>
        <v>1.02</v>
      </c>
      <c r="U49" s="10"/>
      <c r="V49" s="10"/>
      <c r="W49" s="10"/>
    </row>
    <row r="50" spans="16:23" x14ac:dyDescent="0.2">
      <c r="P50" s="110" t="s">
        <v>104</v>
      </c>
      <c r="Q50" s="109">
        <f>Q49*R50</f>
        <v>1.1639514918316789</v>
      </c>
      <c r="R50" s="109">
        <f>R49*S50</f>
        <v>1.0262605022831051</v>
      </c>
      <c r="S50" s="109">
        <f>S49*T50</f>
        <v>1.0189251844046365</v>
      </c>
      <c r="T50" s="109">
        <f>T49</f>
        <v>1.02</v>
      </c>
      <c r="U50" s="10"/>
      <c r="V50" s="10"/>
      <c r="W50" s="10"/>
    </row>
    <row r="51" spans="16:23" x14ac:dyDescent="0.2">
      <c r="P51" s="5"/>
      <c r="Q51" s="5"/>
      <c r="R51" s="5"/>
      <c r="S51" s="5"/>
      <c r="T51" s="5"/>
      <c r="U51" s="5"/>
      <c r="V51" s="5"/>
      <c r="W51" s="10"/>
    </row>
    <row r="52" spans="16:23" x14ac:dyDescent="0.2">
      <c r="P52" s="5" t="s">
        <v>101</v>
      </c>
      <c r="Q52" s="5"/>
      <c r="R52" s="5"/>
      <c r="S52" s="5"/>
      <c r="T52" s="5"/>
      <c r="U52" s="5"/>
      <c r="V52" s="5"/>
      <c r="W52" s="10"/>
    </row>
    <row r="53" spans="16:23" x14ac:dyDescent="0.2">
      <c r="P53" s="5"/>
      <c r="Q53" s="5"/>
      <c r="R53" s="5"/>
      <c r="S53" s="5"/>
      <c r="T53" s="5"/>
      <c r="U53" s="5"/>
      <c r="V53" s="5"/>
      <c r="W53" s="5"/>
    </row>
    <row r="54" spans="16:23" ht="17" thickBot="1" x14ac:dyDescent="0.25">
      <c r="P54" s="5"/>
      <c r="Q54" s="5"/>
      <c r="R54" s="5"/>
      <c r="S54" s="24" t="s">
        <v>18</v>
      </c>
      <c r="T54" s="5"/>
      <c r="U54" s="5"/>
      <c r="V54" s="5"/>
      <c r="W54" s="5"/>
    </row>
    <row r="55" spans="16:23" x14ac:dyDescent="0.2">
      <c r="P55" s="24" t="s">
        <v>21</v>
      </c>
      <c r="Q55" s="168" t="s">
        <v>54</v>
      </c>
      <c r="R55" s="152"/>
      <c r="S55" s="24" t="s">
        <v>54</v>
      </c>
      <c r="T55" s="23" t="s">
        <v>291</v>
      </c>
      <c r="U55" s="5"/>
      <c r="V55" s="26" t="s">
        <v>18</v>
      </c>
      <c r="W55" s="22" t="s">
        <v>18</v>
      </c>
    </row>
    <row r="56" spans="16:23" ht="17" x14ac:dyDescent="0.2">
      <c r="P56" s="16" t="s">
        <v>17</v>
      </c>
      <c r="Q56" s="21" t="s">
        <v>53</v>
      </c>
      <c r="R56" s="21" t="s">
        <v>104</v>
      </c>
      <c r="S56" s="16" t="s">
        <v>53</v>
      </c>
      <c r="T56" s="21" t="s">
        <v>199</v>
      </c>
      <c r="U56" s="21" t="s">
        <v>104</v>
      </c>
      <c r="V56" s="21" t="s">
        <v>14</v>
      </c>
      <c r="W56" s="20" t="s">
        <v>13</v>
      </c>
    </row>
    <row r="57" spans="16:23" x14ac:dyDescent="0.2">
      <c r="P57" s="11">
        <f>P38</f>
        <v>2014</v>
      </c>
      <c r="Q57" s="9">
        <f>E20</f>
        <v>690</v>
      </c>
      <c r="R57" s="28">
        <f>R31</f>
        <v>1.1088321069477785</v>
      </c>
      <c r="S57" s="45">
        <f>Q57*R57</f>
        <v>765.09415379396717</v>
      </c>
      <c r="T57" s="9">
        <f>R38</f>
        <v>1231.8840579710145</v>
      </c>
      <c r="U57" s="108">
        <f>R50</f>
        <v>1.0262605022831051</v>
      </c>
      <c r="V57" s="9">
        <f>T57*U57</f>
        <v>1264.2339520878832</v>
      </c>
      <c r="W57" s="17">
        <f>V57*S57/1000</f>
        <v>967.25800577028178</v>
      </c>
    </row>
    <row r="58" spans="16:23" x14ac:dyDescent="0.2">
      <c r="P58" s="16">
        <f>P39</f>
        <v>2015</v>
      </c>
      <c r="Q58" s="15">
        <f>D21</f>
        <v>650</v>
      </c>
      <c r="R58" s="151">
        <f>Q31</f>
        <v>1.2369973503130069</v>
      </c>
      <c r="S58" s="150">
        <f>Q58*R58</f>
        <v>804.04827770345457</v>
      </c>
      <c r="T58" s="15">
        <f>Q39</f>
        <v>1169.2307692307693</v>
      </c>
      <c r="U58" s="149">
        <f>Q50</f>
        <v>1.1639514918316789</v>
      </c>
      <c r="V58" s="15">
        <f>T58*U58</f>
        <v>1360.9278981416553</v>
      </c>
      <c r="W58" s="12">
        <f>V58*S58/1000</f>
        <v>1094.2517325793806</v>
      </c>
    </row>
    <row r="59" spans="16:23" ht="18" thickBot="1" x14ac:dyDescent="0.25">
      <c r="P59" s="11" t="s">
        <v>12</v>
      </c>
      <c r="Q59" s="9"/>
      <c r="R59" s="9"/>
      <c r="S59" s="45">
        <f>SUM(S57:S58)</f>
        <v>1569.1424314974217</v>
      </c>
      <c r="T59" s="9"/>
      <c r="U59" s="9"/>
      <c r="V59" s="9"/>
      <c r="W59" s="147">
        <f>SUM(W57:W58)</f>
        <v>2061.5097383496623</v>
      </c>
    </row>
    <row r="62" spans="16:23" ht="19" x14ac:dyDescent="0.25">
      <c r="P62" s="101" t="s">
        <v>3</v>
      </c>
    </row>
    <row r="63" spans="16:23" x14ac:dyDescent="0.2">
      <c r="P63" s="193" t="s">
        <v>290</v>
      </c>
      <c r="Q63" s="193"/>
      <c r="R63" s="193"/>
      <c r="S63" s="193"/>
      <c r="T63" s="193"/>
      <c r="U63" s="193"/>
      <c r="V63" s="193"/>
      <c r="W63" s="193"/>
    </row>
    <row r="64" spans="16:23" x14ac:dyDescent="0.2">
      <c r="P64" s="193"/>
      <c r="Q64" s="193"/>
      <c r="R64" s="193"/>
      <c r="S64" s="193"/>
      <c r="T64" s="193"/>
      <c r="U64" s="193"/>
      <c r="V64" s="193"/>
      <c r="W64" s="193"/>
    </row>
    <row r="65" spans="16:23" x14ac:dyDescent="0.2">
      <c r="P65" s="193"/>
      <c r="Q65" s="193"/>
      <c r="R65" s="193"/>
      <c r="S65" s="193"/>
      <c r="T65" s="193"/>
      <c r="U65" s="193"/>
      <c r="V65" s="193"/>
      <c r="W65" s="193"/>
    </row>
    <row r="66" spans="16:23" x14ac:dyDescent="0.2">
      <c r="P66" s="193"/>
      <c r="Q66" s="193"/>
      <c r="R66" s="193"/>
      <c r="S66" s="193"/>
      <c r="T66" s="193"/>
      <c r="U66" s="193"/>
      <c r="V66" s="193"/>
      <c r="W66" s="193"/>
    </row>
    <row r="67" spans="16:23" x14ac:dyDescent="0.2">
      <c r="P67" s="193"/>
      <c r="Q67" s="193"/>
      <c r="R67" s="193"/>
      <c r="S67" s="193"/>
      <c r="T67" s="193"/>
      <c r="U67" s="193"/>
      <c r="V67" s="193"/>
      <c r="W67" s="193"/>
    </row>
    <row r="69" spans="16:23" ht="19" x14ac:dyDescent="0.25">
      <c r="P69" s="101" t="s">
        <v>1</v>
      </c>
    </row>
    <row r="70" spans="16:23" x14ac:dyDescent="0.2">
      <c r="P70" s="5" t="s">
        <v>95</v>
      </c>
    </row>
  </sheetData>
  <mergeCells count="9">
    <mergeCell ref="P63:W67"/>
    <mergeCell ref="P41:T41"/>
    <mergeCell ref="P33:T33"/>
    <mergeCell ref="P22:T22"/>
    <mergeCell ref="C7:G7"/>
    <mergeCell ref="I7:M7"/>
    <mergeCell ref="C15:G15"/>
    <mergeCell ref="I15:M15"/>
    <mergeCell ref="P14:V15"/>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5C2D1-2AA6-CE42-AD36-6E0F749A9CAD}">
  <dimension ref="A1:U57"/>
  <sheetViews>
    <sheetView workbookViewId="0">
      <selection activeCell="B1" sqref="B1"/>
    </sheetView>
  </sheetViews>
  <sheetFormatPr baseColWidth="10" defaultColWidth="11" defaultRowHeight="16" outlineLevelCol="1" x14ac:dyDescent="0.2"/>
  <cols>
    <col min="1" max="1" width="4" style="2" customWidth="1"/>
    <col min="2" max="2" width="10.83203125" style="1" customWidth="1"/>
    <col min="3" max="3" width="12" style="1" customWidth="1"/>
    <col min="4" max="4" width="12.6640625" style="1" customWidth="1"/>
    <col min="5" max="11" width="10.83203125" style="1" customWidth="1"/>
    <col min="12" max="12" width="11" style="1"/>
    <col min="13" max="13" width="10.83203125" style="1" hidden="1" customWidth="1" outlineLevel="1"/>
    <col min="14" max="14" width="11.83203125" style="1" hidden="1" customWidth="1" outlineLevel="1"/>
    <col min="15" max="16" width="10.83203125" style="1" hidden="1" customWidth="1" outlineLevel="1"/>
    <col min="17" max="18" width="11.83203125" style="1" hidden="1" customWidth="1" outlineLevel="1"/>
    <col min="19" max="19" width="10.83203125" style="1" hidden="1" customWidth="1" outlineLevel="1"/>
    <col min="20" max="20" width="0" style="1" hidden="1" customWidth="1" outlineLevel="1"/>
    <col min="21" max="21" width="11" style="1" collapsed="1"/>
    <col min="22" max="16384" width="11" style="1"/>
  </cols>
  <sheetData>
    <row r="1" spans="1:20" x14ac:dyDescent="0.2">
      <c r="A1" s="71"/>
      <c r="B1" s="70" t="s">
        <v>70</v>
      </c>
      <c r="C1" s="69" t="s">
        <v>240</v>
      </c>
      <c r="D1" s="69" t="s">
        <v>68</v>
      </c>
      <c r="E1" s="69" t="s">
        <v>268</v>
      </c>
      <c r="F1" s="68"/>
      <c r="G1" s="68"/>
      <c r="H1" s="68"/>
      <c r="I1" s="68"/>
      <c r="J1" s="68"/>
      <c r="K1" s="67"/>
      <c r="L1" s="64" t="s">
        <v>66</v>
      </c>
    </row>
    <row r="2" spans="1:20" x14ac:dyDescent="0.2">
      <c r="A2" s="38"/>
      <c r="B2" s="66" t="s">
        <v>65</v>
      </c>
      <c r="C2" s="65">
        <v>2.75</v>
      </c>
      <c r="D2" s="37"/>
      <c r="E2" s="37"/>
      <c r="F2" s="37"/>
      <c r="G2" s="37"/>
      <c r="H2" s="37"/>
      <c r="I2" s="37"/>
      <c r="J2" s="37"/>
      <c r="K2" s="36"/>
      <c r="M2" s="64" t="s">
        <v>64</v>
      </c>
    </row>
    <row r="3" spans="1:20" ht="16" customHeight="1" x14ac:dyDescent="0.2">
      <c r="A3" s="38"/>
      <c r="B3" s="37"/>
      <c r="C3" s="37"/>
      <c r="D3" s="37"/>
      <c r="E3" s="37"/>
      <c r="F3" s="37"/>
      <c r="G3" s="37"/>
      <c r="H3" s="37"/>
      <c r="I3" s="37"/>
      <c r="J3" s="37"/>
      <c r="K3" s="36"/>
      <c r="M3" s="193" t="s">
        <v>267</v>
      </c>
      <c r="N3" s="193"/>
      <c r="O3" s="193"/>
      <c r="P3" s="193"/>
      <c r="Q3" s="193"/>
      <c r="R3" s="193"/>
      <c r="S3" s="193"/>
    </row>
    <row r="4" spans="1:20" x14ac:dyDescent="0.2">
      <c r="A4" s="38"/>
      <c r="B4" s="37"/>
      <c r="C4" s="37" t="s">
        <v>266</v>
      </c>
      <c r="D4" s="37"/>
      <c r="E4" s="37"/>
      <c r="F4" s="37"/>
      <c r="G4" s="37"/>
      <c r="H4" s="37"/>
      <c r="I4" s="37"/>
      <c r="J4" s="37"/>
      <c r="K4" s="36"/>
      <c r="M4" s="193"/>
      <c r="N4" s="193"/>
      <c r="O4" s="193"/>
      <c r="P4" s="193"/>
      <c r="Q4" s="193"/>
      <c r="R4" s="193"/>
      <c r="S4" s="193"/>
    </row>
    <row r="5" spans="1:20" x14ac:dyDescent="0.2">
      <c r="A5" s="38"/>
      <c r="B5" s="37"/>
      <c r="C5" s="37"/>
      <c r="D5" s="37"/>
      <c r="E5" s="37"/>
      <c r="F5" s="37"/>
      <c r="G5" s="37"/>
      <c r="H5" s="37"/>
      <c r="I5" s="37"/>
      <c r="J5" s="37"/>
      <c r="K5" s="36"/>
      <c r="M5" s="193"/>
      <c r="N5" s="193"/>
      <c r="O5" s="193"/>
      <c r="P5" s="193"/>
      <c r="Q5" s="193"/>
      <c r="R5" s="193"/>
      <c r="S5" s="193"/>
    </row>
    <row r="6" spans="1:20" x14ac:dyDescent="0.2">
      <c r="A6" s="38"/>
      <c r="B6" s="37"/>
      <c r="C6" s="167"/>
      <c r="D6" s="167" t="s">
        <v>77</v>
      </c>
      <c r="E6" s="166" t="s">
        <v>20</v>
      </c>
      <c r="F6" s="196" t="s">
        <v>265</v>
      </c>
      <c r="G6" s="197"/>
      <c r="H6" s="37"/>
      <c r="I6" s="37"/>
      <c r="J6" s="37"/>
      <c r="K6" s="36"/>
      <c r="M6" s="5"/>
      <c r="N6" s="5"/>
      <c r="O6" s="5"/>
      <c r="P6" s="5"/>
      <c r="Q6" s="5"/>
      <c r="R6" s="5"/>
      <c r="S6" s="5"/>
    </row>
    <row r="7" spans="1:20" x14ac:dyDescent="0.2">
      <c r="A7" s="38"/>
      <c r="B7" s="37"/>
      <c r="C7" s="58" t="s">
        <v>55</v>
      </c>
      <c r="D7" s="58" t="s">
        <v>56</v>
      </c>
      <c r="E7" s="59" t="s">
        <v>49</v>
      </c>
      <c r="F7" s="198" t="s">
        <v>264</v>
      </c>
      <c r="G7" s="199"/>
      <c r="H7" s="37"/>
      <c r="I7" s="37"/>
      <c r="J7" s="37"/>
      <c r="K7" s="36"/>
      <c r="M7" s="24" t="s">
        <v>21</v>
      </c>
      <c r="N7" s="31" t="s">
        <v>190</v>
      </c>
      <c r="O7" s="23" t="s">
        <v>31</v>
      </c>
      <c r="P7" s="24" t="s">
        <v>30</v>
      </c>
      <c r="Q7" s="23" t="s">
        <v>61</v>
      </c>
      <c r="R7" s="24" t="s">
        <v>51</v>
      </c>
      <c r="S7" s="23" t="s">
        <v>28</v>
      </c>
    </row>
    <row r="8" spans="1:20" ht="17" x14ac:dyDescent="0.2">
      <c r="A8" s="38"/>
      <c r="B8" s="37"/>
      <c r="C8" s="42" t="s">
        <v>17</v>
      </c>
      <c r="D8" s="42" t="s">
        <v>59</v>
      </c>
      <c r="E8" s="55" t="s">
        <v>263</v>
      </c>
      <c r="F8" s="200" t="s">
        <v>262</v>
      </c>
      <c r="G8" s="201"/>
      <c r="H8" s="37"/>
      <c r="I8" s="37"/>
      <c r="J8" s="37"/>
      <c r="K8" s="36"/>
      <c r="M8" s="16" t="s">
        <v>17</v>
      </c>
      <c r="N8" s="21" t="s">
        <v>53</v>
      </c>
      <c r="O8" s="21" t="s">
        <v>169</v>
      </c>
      <c r="P8" s="16" t="s">
        <v>26</v>
      </c>
      <c r="Q8" s="21" t="s">
        <v>58</v>
      </c>
      <c r="R8" s="16" t="s">
        <v>261</v>
      </c>
      <c r="S8" s="21" t="s">
        <v>15</v>
      </c>
    </row>
    <row r="9" spans="1:20" x14ac:dyDescent="0.2">
      <c r="A9" s="38"/>
      <c r="B9" s="37"/>
      <c r="C9" s="42">
        <v>2012</v>
      </c>
      <c r="D9" s="50">
        <v>1025</v>
      </c>
      <c r="E9" s="165">
        <v>132500</v>
      </c>
      <c r="F9" s="202">
        <v>1.405</v>
      </c>
      <c r="G9" s="202"/>
      <c r="H9" s="37"/>
      <c r="I9" s="37"/>
      <c r="J9" s="37"/>
      <c r="K9" s="36"/>
      <c r="M9" s="11">
        <f t="shared" ref="M9:N11" si="0">C9</f>
        <v>2012</v>
      </c>
      <c r="N9" s="9">
        <f t="shared" si="0"/>
        <v>1025</v>
      </c>
      <c r="O9" s="29">
        <f>2016-M9</f>
        <v>4</v>
      </c>
      <c r="P9" s="56">
        <f>(1+$E$14)^O9</f>
        <v>0.92236815999999988</v>
      </c>
      <c r="Q9" s="9">
        <f>N9*P9</f>
        <v>945.4273639999999</v>
      </c>
      <c r="R9" s="45">
        <f>E9*F9</f>
        <v>186162.5</v>
      </c>
      <c r="S9" s="44">
        <f>Q9/R9</f>
        <v>5.078505950446518E-3</v>
      </c>
    </row>
    <row r="10" spans="1:20" x14ac:dyDescent="0.2">
      <c r="A10" s="38"/>
      <c r="B10" s="37"/>
      <c r="C10" s="51">
        <v>2013</v>
      </c>
      <c r="D10" s="50">
        <v>3070</v>
      </c>
      <c r="E10" s="165">
        <v>275250</v>
      </c>
      <c r="F10" s="195">
        <v>1.3</v>
      </c>
      <c r="G10" s="195"/>
      <c r="H10" s="37"/>
      <c r="I10" s="37"/>
      <c r="J10" s="37"/>
      <c r="K10" s="36"/>
      <c r="M10" s="11">
        <f t="shared" si="0"/>
        <v>2013</v>
      </c>
      <c r="N10" s="9">
        <f t="shared" si="0"/>
        <v>3070</v>
      </c>
      <c r="O10" s="29">
        <f>2016-M10</f>
        <v>3</v>
      </c>
      <c r="P10" s="56">
        <f>(1+$E$14)^O10</f>
        <v>0.94119199999999992</v>
      </c>
      <c r="Q10" s="9">
        <f>N10*P10</f>
        <v>2889.4594399999996</v>
      </c>
      <c r="R10" s="45">
        <f>E10*F10</f>
        <v>357825</v>
      </c>
      <c r="S10" s="44">
        <f>Q10/R10</f>
        <v>8.0750630615524337E-3</v>
      </c>
    </row>
    <row r="11" spans="1:20" x14ac:dyDescent="0.2">
      <c r="A11" s="38"/>
      <c r="B11" s="37"/>
      <c r="C11" s="51">
        <v>2014</v>
      </c>
      <c r="D11" s="50">
        <v>2950</v>
      </c>
      <c r="E11" s="165">
        <v>330750</v>
      </c>
      <c r="F11" s="195">
        <v>1.07</v>
      </c>
      <c r="G11" s="195"/>
      <c r="H11" s="37"/>
      <c r="I11" s="37"/>
      <c r="J11" s="37"/>
      <c r="K11" s="36"/>
      <c r="M11" s="11">
        <f t="shared" si="0"/>
        <v>2014</v>
      </c>
      <c r="N11" s="9">
        <f t="shared" si="0"/>
        <v>2950</v>
      </c>
      <c r="O11" s="29">
        <f>2016-M11</f>
        <v>2</v>
      </c>
      <c r="P11" s="56">
        <f>(1+$E$14)^O11</f>
        <v>0.96039999999999992</v>
      </c>
      <c r="Q11" s="9">
        <f>N11*P11</f>
        <v>2833.18</v>
      </c>
      <c r="R11" s="45">
        <f>E11*F11</f>
        <v>353902.5</v>
      </c>
      <c r="S11" s="44">
        <f>Q11/R11</f>
        <v>8.0055382485289019E-3</v>
      </c>
    </row>
    <row r="12" spans="1:20" x14ac:dyDescent="0.2">
      <c r="A12" s="38"/>
      <c r="B12" s="37"/>
      <c r="C12" s="51">
        <v>2015</v>
      </c>
      <c r="D12" s="51" t="s">
        <v>185</v>
      </c>
      <c r="E12" s="165">
        <v>360825</v>
      </c>
      <c r="F12" s="195">
        <v>1.05</v>
      </c>
      <c r="G12" s="195"/>
      <c r="H12" s="37"/>
      <c r="I12" s="37"/>
      <c r="J12" s="37"/>
      <c r="K12" s="36"/>
      <c r="M12" s="5"/>
      <c r="N12" s="5"/>
      <c r="O12" s="5"/>
      <c r="S12" s="164"/>
    </row>
    <row r="13" spans="1:20" x14ac:dyDescent="0.2">
      <c r="A13" s="38"/>
      <c r="B13" s="37"/>
      <c r="C13" s="37"/>
      <c r="D13" s="37"/>
      <c r="E13" s="37"/>
      <c r="F13" s="37"/>
      <c r="G13" s="37"/>
      <c r="H13" s="37"/>
      <c r="I13" s="37"/>
      <c r="J13" s="37"/>
      <c r="K13" s="36"/>
      <c r="M13" s="5"/>
      <c r="N13" s="5"/>
      <c r="O13" s="5"/>
      <c r="Q13" s="5" t="s">
        <v>181</v>
      </c>
      <c r="R13" s="5"/>
      <c r="S13" s="41">
        <f>AVERAGE(S10:S11)</f>
        <v>8.0403006550406678E-3</v>
      </c>
    </row>
    <row r="14" spans="1:20" x14ac:dyDescent="0.2">
      <c r="A14" s="38"/>
      <c r="B14" s="40"/>
      <c r="C14" s="37" t="s">
        <v>183</v>
      </c>
      <c r="D14" s="37"/>
      <c r="E14" s="113">
        <v>-0.02</v>
      </c>
      <c r="F14" s="37"/>
      <c r="G14" s="37"/>
      <c r="H14" s="37"/>
      <c r="I14" s="37"/>
      <c r="J14" s="37"/>
      <c r="K14" s="36"/>
      <c r="M14" s="5"/>
      <c r="N14" s="5"/>
      <c r="O14" s="5"/>
      <c r="Q14" s="7" t="s">
        <v>260</v>
      </c>
      <c r="R14" s="7"/>
      <c r="S14" s="163">
        <f>S13*F12/(1+E14)</f>
        <v>8.61460784468643E-3</v>
      </c>
      <c r="T14" s="5" t="s">
        <v>259</v>
      </c>
    </row>
    <row r="15" spans="1:20" x14ac:dyDescent="0.2">
      <c r="A15" s="38"/>
      <c r="B15" s="40"/>
      <c r="C15" s="37" t="s">
        <v>258</v>
      </c>
      <c r="D15" s="37"/>
      <c r="E15" s="113">
        <v>0.05</v>
      </c>
      <c r="F15" s="37"/>
      <c r="G15" s="37"/>
      <c r="H15" s="37"/>
      <c r="I15" s="37"/>
      <c r="J15" s="37"/>
      <c r="K15" s="36"/>
      <c r="M15" s="5"/>
      <c r="N15" s="5"/>
      <c r="O15" s="5"/>
      <c r="Q15" s="7"/>
      <c r="R15" s="7"/>
      <c r="S15" s="163"/>
    </row>
    <row r="16" spans="1:20" x14ac:dyDescent="0.2">
      <c r="A16" s="38"/>
      <c r="B16" s="40"/>
      <c r="C16" s="37" t="s">
        <v>257</v>
      </c>
      <c r="D16" s="37"/>
      <c r="E16" s="37"/>
      <c r="F16" s="37"/>
      <c r="G16" s="135">
        <v>13370</v>
      </c>
      <c r="H16" s="37"/>
      <c r="I16" s="37"/>
      <c r="J16" s="37"/>
      <c r="K16" s="36"/>
      <c r="M16" s="114" t="s">
        <v>178</v>
      </c>
      <c r="N16" s="5"/>
      <c r="S16" s="5"/>
    </row>
    <row r="17" spans="1:19" x14ac:dyDescent="0.2">
      <c r="A17" s="38"/>
      <c r="B17" s="40"/>
      <c r="C17" s="37" t="s">
        <v>256</v>
      </c>
      <c r="D17" s="37"/>
      <c r="E17" s="37"/>
      <c r="F17" s="37"/>
      <c r="G17" s="37"/>
      <c r="H17" s="37"/>
      <c r="I17" s="135">
        <v>30880900</v>
      </c>
      <c r="J17" s="135"/>
      <c r="K17" s="36"/>
      <c r="M17" s="193" t="s">
        <v>255</v>
      </c>
      <c r="N17" s="193"/>
      <c r="O17" s="193"/>
      <c r="P17" s="193"/>
      <c r="Q17" s="193"/>
      <c r="R17" s="193"/>
      <c r="S17" s="193"/>
    </row>
    <row r="18" spans="1:19" x14ac:dyDescent="0.2">
      <c r="A18" s="38"/>
      <c r="B18" s="40"/>
      <c r="C18" s="37"/>
      <c r="D18" s="37"/>
      <c r="E18" s="37"/>
      <c r="F18" s="37"/>
      <c r="G18" s="37"/>
      <c r="H18" s="37"/>
      <c r="I18" s="37"/>
      <c r="J18" s="37"/>
      <c r="K18" s="36"/>
      <c r="M18" s="193"/>
      <c r="N18" s="193"/>
      <c r="O18" s="193"/>
      <c r="P18" s="193"/>
      <c r="Q18" s="193"/>
      <c r="R18" s="193"/>
      <c r="S18" s="193"/>
    </row>
    <row r="19" spans="1:19" x14ac:dyDescent="0.2">
      <c r="A19" s="38" t="s">
        <v>40</v>
      </c>
      <c r="B19" s="39" t="s">
        <v>213</v>
      </c>
      <c r="C19" s="37" t="s">
        <v>254</v>
      </c>
      <c r="D19" s="37"/>
      <c r="E19" s="37"/>
      <c r="F19" s="37"/>
      <c r="G19" s="37"/>
      <c r="H19" s="37"/>
      <c r="I19" s="37"/>
      <c r="J19" s="37"/>
      <c r="K19" s="36"/>
      <c r="M19" s="102"/>
      <c r="N19" s="102"/>
      <c r="O19" s="102"/>
      <c r="P19" s="102"/>
      <c r="Q19" s="102"/>
      <c r="R19" s="102"/>
      <c r="S19" s="102"/>
    </row>
    <row r="20" spans="1:19" x14ac:dyDescent="0.2">
      <c r="A20" s="38"/>
      <c r="B20" s="40"/>
      <c r="C20" s="37"/>
      <c r="D20" s="37"/>
      <c r="E20" s="37"/>
      <c r="F20" s="37"/>
      <c r="G20" s="37"/>
      <c r="H20" s="37"/>
      <c r="I20" s="37"/>
      <c r="J20" s="37"/>
      <c r="K20" s="36"/>
      <c r="M20" s="193" t="s">
        <v>253</v>
      </c>
      <c r="N20" s="193"/>
      <c r="O20" s="193"/>
      <c r="P20" s="193"/>
      <c r="Q20" s="193"/>
      <c r="R20" s="193"/>
      <c r="S20" s="193"/>
    </row>
    <row r="21" spans="1:19" x14ac:dyDescent="0.2">
      <c r="A21" s="38" t="s">
        <v>36</v>
      </c>
      <c r="B21" s="39" t="s">
        <v>35</v>
      </c>
      <c r="C21" s="37" t="s">
        <v>252</v>
      </c>
      <c r="D21" s="37"/>
      <c r="E21" s="37"/>
      <c r="F21" s="37"/>
      <c r="G21" s="37"/>
      <c r="H21" s="37"/>
      <c r="I21" s="37"/>
      <c r="J21" s="37"/>
      <c r="K21" s="36"/>
      <c r="M21" s="193"/>
      <c r="N21" s="193"/>
      <c r="O21" s="193"/>
      <c r="P21" s="193"/>
      <c r="Q21" s="193"/>
      <c r="R21" s="193"/>
      <c r="S21" s="193"/>
    </row>
    <row r="22" spans="1:19" x14ac:dyDescent="0.2">
      <c r="A22" s="38"/>
      <c r="B22" s="40"/>
      <c r="C22" s="37" t="s">
        <v>251</v>
      </c>
      <c r="D22" s="37"/>
      <c r="E22" s="37"/>
      <c r="F22" s="37"/>
      <c r="G22" s="37"/>
      <c r="H22" s="37"/>
      <c r="I22" s="37"/>
      <c r="J22" s="37"/>
      <c r="K22" s="36"/>
      <c r="M22" s="5"/>
      <c r="N22" s="5"/>
      <c r="O22" s="5"/>
      <c r="P22" s="5"/>
      <c r="Q22" s="5"/>
      <c r="R22" s="102"/>
      <c r="S22" s="5"/>
    </row>
    <row r="23" spans="1:19" ht="17" thickBot="1" x14ac:dyDescent="0.25">
      <c r="A23" s="38"/>
      <c r="B23" s="40"/>
      <c r="C23" s="37"/>
      <c r="D23" s="37"/>
      <c r="E23" s="37"/>
      <c r="F23" s="37"/>
      <c r="G23" s="37"/>
      <c r="H23" s="37"/>
      <c r="I23" s="37"/>
      <c r="J23" s="37"/>
      <c r="K23" s="36"/>
      <c r="M23" s="204" t="s">
        <v>250</v>
      </c>
      <c r="N23" s="204"/>
      <c r="O23" s="162">
        <f>G16/(1+E15)</f>
        <v>12733.333333333332</v>
      </c>
      <c r="P23" s="102"/>
    </row>
    <row r="24" spans="1:19" ht="17" thickBot="1" x14ac:dyDescent="0.25">
      <c r="A24" s="35" t="s">
        <v>32</v>
      </c>
      <c r="B24" s="33"/>
      <c r="C24" s="34"/>
      <c r="D24" s="33"/>
      <c r="E24" s="33"/>
      <c r="F24" s="33"/>
      <c r="G24" s="33"/>
      <c r="H24" s="33"/>
      <c r="I24" s="33"/>
      <c r="J24" s="33"/>
      <c r="K24" s="32"/>
      <c r="M24" s="5"/>
      <c r="N24" s="5"/>
      <c r="O24" s="5"/>
      <c r="S24" s="5"/>
    </row>
    <row r="25" spans="1:19" x14ac:dyDescent="0.2">
      <c r="M25" s="5" t="s">
        <v>249</v>
      </c>
      <c r="N25" s="5"/>
      <c r="O25" s="5"/>
      <c r="P25" s="5"/>
      <c r="Q25" s="5"/>
      <c r="R25" s="5"/>
      <c r="S25" s="5"/>
    </row>
    <row r="26" spans="1:19" x14ac:dyDescent="0.2">
      <c r="M26" s="5"/>
      <c r="N26" s="5"/>
      <c r="O26" s="5"/>
      <c r="P26" s="5"/>
      <c r="Q26" s="5"/>
      <c r="R26" s="5"/>
      <c r="S26" s="5"/>
    </row>
    <row r="27" spans="1:19" x14ac:dyDescent="0.2">
      <c r="M27" s="5" t="s">
        <v>248</v>
      </c>
      <c r="N27" s="5"/>
      <c r="O27" s="5"/>
      <c r="P27" s="5"/>
      <c r="Q27" s="5"/>
      <c r="R27" s="5"/>
      <c r="S27" s="5"/>
    </row>
    <row r="28" spans="1:19" x14ac:dyDescent="0.2">
      <c r="M28" s="5" t="s">
        <v>247</v>
      </c>
      <c r="N28" s="5"/>
      <c r="O28" s="25">
        <f>E12</f>
        <v>360825</v>
      </c>
      <c r="P28" s="5"/>
      <c r="Q28" s="5"/>
      <c r="R28" s="5"/>
      <c r="S28" s="5"/>
    </row>
    <row r="29" spans="1:19" x14ac:dyDescent="0.2">
      <c r="M29" s="5" t="s">
        <v>162</v>
      </c>
      <c r="N29" s="5"/>
      <c r="O29" s="44">
        <f>S14</f>
        <v>8.61460784468643E-3</v>
      </c>
      <c r="P29" s="5"/>
      <c r="Q29" s="5"/>
      <c r="R29" s="5"/>
      <c r="S29" s="5"/>
    </row>
    <row r="30" spans="1:19" x14ac:dyDescent="0.2">
      <c r="M30" s="5" t="s">
        <v>161</v>
      </c>
      <c r="N30" s="5"/>
      <c r="O30" s="25">
        <f>O23</f>
        <v>12733.333333333332</v>
      </c>
      <c r="P30" s="5"/>
      <c r="Q30" s="5"/>
      <c r="R30" s="5"/>
      <c r="S30" s="5"/>
    </row>
    <row r="31" spans="1:19" x14ac:dyDescent="0.2">
      <c r="M31" s="5" t="s">
        <v>160</v>
      </c>
      <c r="N31" s="5"/>
      <c r="O31" s="25">
        <f>O28*O29*O30</f>
        <v>39579858.815451026</v>
      </c>
      <c r="P31" s="5"/>
      <c r="Q31" s="5"/>
      <c r="R31" s="5"/>
      <c r="S31" s="5"/>
    </row>
    <row r="32" spans="1:19" ht="17" thickBot="1" x14ac:dyDescent="0.25"/>
    <row r="33" spans="13:19" ht="17" thickBot="1" x14ac:dyDescent="0.25">
      <c r="M33" s="161" t="s">
        <v>246</v>
      </c>
      <c r="N33" s="160"/>
      <c r="O33" s="103">
        <f>O31-I17</f>
        <v>8698958.815451026</v>
      </c>
    </row>
    <row r="35" spans="13:19" x14ac:dyDescent="0.2">
      <c r="M35" s="64" t="s">
        <v>11</v>
      </c>
    </row>
    <row r="36" spans="13:19" x14ac:dyDescent="0.2">
      <c r="M36" s="159" t="s">
        <v>245</v>
      </c>
    </row>
    <row r="37" spans="13:19" x14ac:dyDescent="0.2">
      <c r="M37" s="203" t="s">
        <v>244</v>
      </c>
      <c r="N37" s="203"/>
      <c r="O37" s="203"/>
      <c r="P37" s="203"/>
      <c r="Q37" s="203"/>
      <c r="R37" s="203"/>
      <c r="S37" s="203"/>
    </row>
    <row r="38" spans="13:19" x14ac:dyDescent="0.2">
      <c r="M38" s="203"/>
      <c r="N38" s="203"/>
      <c r="O38" s="203"/>
      <c r="P38" s="203"/>
      <c r="Q38" s="203"/>
      <c r="R38" s="203"/>
      <c r="S38" s="203"/>
    </row>
    <row r="39" spans="13:19" x14ac:dyDescent="0.2">
      <c r="M39" s="99"/>
      <c r="N39" s="99"/>
      <c r="O39" s="99"/>
      <c r="P39" s="99"/>
      <c r="Q39" s="99"/>
      <c r="R39" s="99"/>
      <c r="S39" s="99"/>
    </row>
    <row r="40" spans="13:19" x14ac:dyDescent="0.2">
      <c r="M40" s="159" t="s">
        <v>243</v>
      </c>
    </row>
    <row r="41" spans="13:19" x14ac:dyDescent="0.2">
      <c r="M41" s="187" t="s">
        <v>242</v>
      </c>
      <c r="N41" s="187"/>
      <c r="O41" s="187"/>
      <c r="P41" s="187"/>
      <c r="Q41" s="187"/>
      <c r="R41" s="187"/>
      <c r="S41" s="187"/>
    </row>
    <row r="42" spans="13:19" x14ac:dyDescent="0.2">
      <c r="M42" s="187"/>
      <c r="N42" s="187"/>
      <c r="O42" s="187"/>
      <c r="P42" s="187"/>
      <c r="Q42" s="187"/>
      <c r="R42" s="187"/>
      <c r="S42" s="187"/>
    </row>
    <row r="43" spans="13:19" x14ac:dyDescent="0.2">
      <c r="M43" s="118"/>
      <c r="N43" s="118"/>
      <c r="O43" s="118"/>
      <c r="P43" s="118"/>
      <c r="Q43" s="118"/>
      <c r="R43" s="118"/>
      <c r="S43" s="118"/>
    </row>
    <row r="44" spans="13:19" x14ac:dyDescent="0.2">
      <c r="M44" s="118"/>
      <c r="N44" s="118"/>
      <c r="O44" s="118"/>
      <c r="P44" s="118"/>
      <c r="Q44" s="118"/>
      <c r="R44" s="118"/>
      <c r="S44" s="118"/>
    </row>
    <row r="45" spans="13:19" ht="19" x14ac:dyDescent="0.25">
      <c r="M45" s="72" t="s">
        <v>3</v>
      </c>
    </row>
    <row r="46" spans="13:19" x14ac:dyDescent="0.2">
      <c r="M46" s="187" t="s">
        <v>241</v>
      </c>
      <c r="N46" s="187"/>
      <c r="O46" s="187"/>
      <c r="P46" s="187"/>
      <c r="Q46" s="187"/>
      <c r="R46" s="187"/>
      <c r="S46" s="187"/>
    </row>
    <row r="47" spans="13:19" x14ac:dyDescent="0.2">
      <c r="M47" s="187"/>
      <c r="N47" s="187"/>
      <c r="O47" s="187"/>
      <c r="P47" s="187"/>
      <c r="Q47" s="187"/>
      <c r="R47" s="187"/>
      <c r="S47" s="187"/>
    </row>
    <row r="48" spans="13:19" x14ac:dyDescent="0.2">
      <c r="M48" s="187"/>
      <c r="N48" s="187"/>
      <c r="O48" s="187"/>
      <c r="P48" s="187"/>
      <c r="Q48" s="187"/>
      <c r="R48" s="187"/>
      <c r="S48" s="187"/>
    </row>
    <row r="49" spans="13:19" x14ac:dyDescent="0.2">
      <c r="M49" s="187"/>
      <c r="N49" s="187"/>
      <c r="O49" s="187"/>
      <c r="P49" s="187"/>
      <c r="Q49" s="187"/>
      <c r="R49" s="187"/>
      <c r="S49" s="187"/>
    </row>
    <row r="50" spans="13:19" x14ac:dyDescent="0.2">
      <c r="M50" s="187"/>
      <c r="N50" s="187"/>
      <c r="O50" s="187"/>
      <c r="P50" s="187"/>
      <c r="Q50" s="187"/>
      <c r="R50" s="187"/>
      <c r="S50" s="187"/>
    </row>
    <row r="51" spans="13:19" x14ac:dyDescent="0.2">
      <c r="M51" s="187"/>
      <c r="N51" s="187"/>
      <c r="O51" s="187"/>
      <c r="P51" s="187"/>
      <c r="Q51" s="187"/>
      <c r="R51" s="187"/>
      <c r="S51" s="187"/>
    </row>
    <row r="52" spans="13:19" x14ac:dyDescent="0.2">
      <c r="M52" s="187"/>
      <c r="N52" s="187"/>
      <c r="O52" s="187"/>
      <c r="P52" s="187"/>
      <c r="Q52" s="187"/>
      <c r="R52" s="187"/>
      <c r="S52" s="187"/>
    </row>
    <row r="53" spans="13:19" x14ac:dyDescent="0.2">
      <c r="M53" s="187"/>
      <c r="N53" s="187"/>
      <c r="O53" s="187"/>
      <c r="P53" s="187"/>
      <c r="Q53" s="187"/>
      <c r="R53" s="187"/>
      <c r="S53" s="187"/>
    </row>
    <row r="54" spans="13:19" x14ac:dyDescent="0.2">
      <c r="M54" s="187"/>
      <c r="N54" s="187"/>
      <c r="O54" s="187"/>
      <c r="P54" s="187"/>
      <c r="Q54" s="187"/>
      <c r="R54" s="187"/>
      <c r="S54" s="187"/>
    </row>
    <row r="56" spans="13:19" ht="19" x14ac:dyDescent="0.25">
      <c r="M56" s="72" t="s">
        <v>1</v>
      </c>
    </row>
    <row r="57" spans="13:19" x14ac:dyDescent="0.2">
      <c r="M57" s="1" t="s">
        <v>0</v>
      </c>
    </row>
  </sheetData>
  <mergeCells count="14">
    <mergeCell ref="M46:S54"/>
    <mergeCell ref="M41:S42"/>
    <mergeCell ref="M37:S38"/>
    <mergeCell ref="M17:S18"/>
    <mergeCell ref="M23:N23"/>
    <mergeCell ref="M20:S21"/>
    <mergeCell ref="M3:S5"/>
    <mergeCell ref="F12:G12"/>
    <mergeCell ref="F6:G6"/>
    <mergeCell ref="F7:G7"/>
    <mergeCell ref="F8:G8"/>
    <mergeCell ref="F9:G9"/>
    <mergeCell ref="F10:G10"/>
    <mergeCell ref="F11:G1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4AB41-7AA6-7149-A2FB-8C2C2DEB0CF9}">
  <dimension ref="A1:T80"/>
  <sheetViews>
    <sheetView workbookViewId="0">
      <selection activeCell="B1" sqref="B1"/>
    </sheetView>
  </sheetViews>
  <sheetFormatPr baseColWidth="10" defaultColWidth="11" defaultRowHeight="16" outlineLevelCol="1" x14ac:dyDescent="0.2"/>
  <cols>
    <col min="1" max="1" width="4" style="2" customWidth="1"/>
    <col min="2" max="2" width="10.83203125" style="1" customWidth="1"/>
    <col min="3" max="12" width="11" style="1"/>
    <col min="13" max="19" width="0" style="10" hidden="1" customWidth="1" outlineLevel="1"/>
    <col min="20" max="20" width="11" style="10" collapsed="1"/>
    <col min="21" max="16384" width="11" style="1"/>
  </cols>
  <sheetData>
    <row r="1" spans="1:20" x14ac:dyDescent="0.2">
      <c r="A1" s="71"/>
      <c r="B1" s="70" t="s">
        <v>70</v>
      </c>
      <c r="C1" s="69" t="s">
        <v>240</v>
      </c>
      <c r="D1" s="69" t="s">
        <v>68</v>
      </c>
      <c r="E1" s="69" t="s">
        <v>67</v>
      </c>
      <c r="F1" s="68"/>
      <c r="G1" s="68"/>
      <c r="H1" s="68"/>
      <c r="I1" s="68"/>
      <c r="J1" s="68"/>
      <c r="K1" s="67"/>
      <c r="L1" s="64" t="s">
        <v>66</v>
      </c>
      <c r="M1" s="5"/>
      <c r="N1" s="5"/>
      <c r="O1" s="5"/>
      <c r="P1" s="5"/>
      <c r="Q1" s="5"/>
      <c r="R1" s="5"/>
      <c r="S1" s="5"/>
      <c r="T1" s="5"/>
    </row>
    <row r="2" spans="1:20" x14ac:dyDescent="0.2">
      <c r="A2" s="38"/>
      <c r="B2" s="66" t="s">
        <v>65</v>
      </c>
      <c r="C2" s="65">
        <v>2</v>
      </c>
      <c r="D2" s="37"/>
      <c r="E2" s="37"/>
      <c r="F2" s="37"/>
      <c r="G2" s="37"/>
      <c r="H2" s="37"/>
      <c r="I2" s="37"/>
      <c r="J2" s="37"/>
      <c r="K2" s="36"/>
      <c r="M2" s="5"/>
      <c r="N2" s="5"/>
      <c r="O2" s="5"/>
      <c r="P2" s="5"/>
      <c r="Q2" s="5"/>
      <c r="R2" s="5"/>
      <c r="S2" s="5"/>
      <c r="T2" s="5"/>
    </row>
    <row r="3" spans="1:20" x14ac:dyDescent="0.2">
      <c r="A3" s="38"/>
      <c r="B3" s="37"/>
      <c r="C3" s="37"/>
      <c r="D3" s="37"/>
      <c r="E3" s="37"/>
      <c r="F3" s="37"/>
      <c r="G3" s="37"/>
      <c r="H3" s="37"/>
      <c r="I3" s="37"/>
      <c r="J3" s="37"/>
      <c r="K3" s="36"/>
      <c r="M3" s="7" t="s">
        <v>124</v>
      </c>
      <c r="N3" s="7"/>
      <c r="O3" s="7"/>
      <c r="P3" s="7"/>
      <c r="Q3" s="5"/>
      <c r="R3" s="5"/>
      <c r="S3" s="5"/>
      <c r="T3" s="5"/>
    </row>
    <row r="4" spans="1:20" x14ac:dyDescent="0.2">
      <c r="A4" s="38"/>
      <c r="B4" s="37"/>
      <c r="C4" s="37" t="s">
        <v>155</v>
      </c>
      <c r="D4" s="37"/>
      <c r="E4" s="37"/>
      <c r="F4" s="37"/>
      <c r="G4" s="37"/>
      <c r="H4" s="37"/>
      <c r="I4" s="37"/>
      <c r="J4" s="37"/>
      <c r="K4" s="36"/>
      <c r="M4" s="114"/>
      <c r="N4" s="114"/>
      <c r="O4" s="114"/>
      <c r="P4" s="114"/>
      <c r="Q4" s="114"/>
      <c r="R4" s="114"/>
      <c r="S4" s="5"/>
      <c r="T4" s="5"/>
    </row>
    <row r="5" spans="1:20" x14ac:dyDescent="0.2">
      <c r="A5" s="38"/>
      <c r="B5" s="37"/>
      <c r="C5" s="37"/>
      <c r="D5" s="37"/>
      <c r="E5" s="37"/>
      <c r="F5" s="37"/>
      <c r="G5" s="37"/>
      <c r="H5" s="37"/>
      <c r="I5" s="37"/>
      <c r="J5" s="37"/>
      <c r="K5" s="36"/>
      <c r="M5" s="24" t="s">
        <v>21</v>
      </c>
      <c r="P5" s="114"/>
      <c r="Q5" s="114"/>
      <c r="R5" s="114"/>
      <c r="S5" s="5"/>
      <c r="T5" s="5"/>
    </row>
    <row r="6" spans="1:20" ht="16.5" customHeight="1" x14ac:dyDescent="0.2">
      <c r="A6" s="38"/>
      <c r="B6" s="37"/>
      <c r="C6" s="63"/>
      <c r="D6" s="196" t="s">
        <v>238</v>
      </c>
      <c r="E6" s="206"/>
      <c r="F6" s="197"/>
      <c r="G6" s="37"/>
      <c r="H6" s="37"/>
      <c r="I6" s="37"/>
      <c r="J6" s="37"/>
      <c r="K6" s="36"/>
      <c r="M6" s="16" t="s">
        <v>17</v>
      </c>
      <c r="N6" s="112" t="s">
        <v>113</v>
      </c>
      <c r="O6" s="111" t="s">
        <v>112</v>
      </c>
      <c r="P6" s="114"/>
      <c r="Q6" s="114"/>
      <c r="R6" s="114"/>
      <c r="S6" s="5"/>
      <c r="T6" s="5"/>
    </row>
    <row r="7" spans="1:20" ht="16.5" customHeight="1" x14ac:dyDescent="0.2">
      <c r="A7" s="38"/>
      <c r="B7" s="37"/>
      <c r="C7" s="59" t="s">
        <v>55</v>
      </c>
      <c r="D7" s="200" t="s">
        <v>239</v>
      </c>
      <c r="E7" s="207"/>
      <c r="F7" s="201"/>
      <c r="G7" s="37"/>
      <c r="H7" s="37"/>
      <c r="I7" s="37"/>
      <c r="J7" s="37"/>
      <c r="K7" s="36"/>
      <c r="M7" s="11">
        <f>C9</f>
        <v>2014</v>
      </c>
      <c r="N7" s="108">
        <f>E16/D16</f>
        <v>1.1875</v>
      </c>
      <c r="O7" s="108">
        <f>F16/E16</f>
        <v>1.0526315789473684</v>
      </c>
      <c r="P7" s="108"/>
      <c r="Q7" s="108"/>
      <c r="R7" s="108"/>
      <c r="S7" s="5"/>
      <c r="T7" s="5"/>
    </row>
    <row r="8" spans="1:20" x14ac:dyDescent="0.2">
      <c r="A8" s="38"/>
      <c r="B8" s="37"/>
      <c r="C8" s="42" t="s">
        <v>17</v>
      </c>
      <c r="D8" s="54">
        <v>12</v>
      </c>
      <c r="E8" s="42">
        <v>24</v>
      </c>
      <c r="F8" s="42">
        <v>36</v>
      </c>
      <c r="G8" s="37"/>
      <c r="H8" s="37"/>
      <c r="I8" s="37"/>
      <c r="J8" s="37"/>
      <c r="K8" s="36"/>
      <c r="M8" s="11">
        <f>C10</f>
        <v>2015</v>
      </c>
      <c r="N8" s="108">
        <f>E17/D17</f>
        <v>1.1647058823529413</v>
      </c>
      <c r="O8" s="108"/>
      <c r="P8" s="108"/>
      <c r="Q8" s="108"/>
      <c r="R8" s="108"/>
      <c r="S8" s="5"/>
      <c r="T8" s="5"/>
    </row>
    <row r="9" spans="1:20" x14ac:dyDescent="0.2">
      <c r="A9" s="38"/>
      <c r="B9" s="37"/>
      <c r="C9" s="42">
        <v>2014</v>
      </c>
      <c r="D9" s="50">
        <v>68600</v>
      </c>
      <c r="E9" s="50">
        <v>87800</v>
      </c>
      <c r="F9" s="50">
        <v>100000</v>
      </c>
      <c r="G9" s="37"/>
      <c r="H9" s="37"/>
      <c r="I9" s="37"/>
      <c r="J9" s="37"/>
      <c r="K9" s="36"/>
      <c r="T9" s="5"/>
    </row>
    <row r="10" spans="1:20" ht="17" x14ac:dyDescent="0.2">
      <c r="A10" s="38"/>
      <c r="B10" s="37"/>
      <c r="C10" s="51">
        <v>2015</v>
      </c>
      <c r="D10" s="50">
        <v>72800</v>
      </c>
      <c r="E10" s="50">
        <v>91500</v>
      </c>
      <c r="F10" s="51"/>
      <c r="G10" s="37"/>
      <c r="H10" s="37"/>
      <c r="I10" s="37"/>
      <c r="J10" s="37"/>
      <c r="K10" s="36"/>
      <c r="M10" s="16"/>
      <c r="N10" s="112" t="s">
        <v>113</v>
      </c>
      <c r="O10" s="111" t="s">
        <v>112</v>
      </c>
      <c r="P10" s="111" t="s">
        <v>110</v>
      </c>
      <c r="Q10" s="5"/>
      <c r="R10" s="1"/>
      <c r="S10" s="1"/>
      <c r="T10" s="1"/>
    </row>
    <row r="11" spans="1:20" x14ac:dyDescent="0.2">
      <c r="A11" s="38"/>
      <c r="B11" s="37"/>
      <c r="C11" s="51">
        <v>2016</v>
      </c>
      <c r="D11" s="50">
        <v>55900</v>
      </c>
      <c r="E11" s="51"/>
      <c r="F11" s="51"/>
      <c r="G11" s="37"/>
      <c r="H11" s="37"/>
      <c r="I11" s="37"/>
      <c r="J11" s="37"/>
      <c r="K11" s="36"/>
      <c r="M11" s="110" t="s">
        <v>109</v>
      </c>
      <c r="N11" s="108">
        <f>AVERAGE(N7:N8)</f>
        <v>1.1761029411764707</v>
      </c>
      <c r="O11" s="108">
        <f>AVERAGE(O7:O8)</f>
        <v>1.0526315789473684</v>
      </c>
      <c r="P11" s="109">
        <v>1</v>
      </c>
      <c r="Q11" s="5"/>
      <c r="R11" s="1"/>
      <c r="S11" s="1"/>
      <c r="T11" s="1"/>
    </row>
    <row r="12" spans="1:20" x14ac:dyDescent="0.2">
      <c r="A12" s="38"/>
      <c r="B12" s="37"/>
      <c r="C12" s="37"/>
      <c r="D12" s="37"/>
      <c r="E12" s="37"/>
      <c r="F12" s="37"/>
      <c r="G12" s="37"/>
      <c r="H12" s="37"/>
      <c r="I12" s="37"/>
      <c r="J12" s="37"/>
      <c r="K12" s="36"/>
      <c r="M12" s="110" t="s">
        <v>104</v>
      </c>
      <c r="N12" s="109">
        <f>N11*O12</f>
        <v>1.2380030959752324</v>
      </c>
      <c r="O12" s="109">
        <f>O11*P12</f>
        <v>1.0526315789473684</v>
      </c>
      <c r="P12" s="109">
        <f>P11</f>
        <v>1</v>
      </c>
      <c r="Q12" s="5"/>
      <c r="R12" s="1"/>
      <c r="S12" s="1"/>
      <c r="T12" s="1"/>
    </row>
    <row r="13" spans="1:20" x14ac:dyDescent="0.2">
      <c r="A13" s="38"/>
      <c r="B13" s="37"/>
      <c r="C13" s="63"/>
      <c r="D13" s="196" t="s">
        <v>238</v>
      </c>
      <c r="E13" s="206"/>
      <c r="F13" s="197"/>
      <c r="G13" s="37"/>
      <c r="H13" s="37"/>
      <c r="I13" s="37"/>
      <c r="J13" s="37"/>
      <c r="K13" s="36"/>
      <c r="T13" s="5"/>
    </row>
    <row r="14" spans="1:20" x14ac:dyDescent="0.2">
      <c r="A14" s="38"/>
      <c r="B14" s="40"/>
      <c r="C14" s="59" t="s">
        <v>55</v>
      </c>
      <c r="D14" s="200" t="s">
        <v>237</v>
      </c>
      <c r="E14" s="207"/>
      <c r="F14" s="201"/>
      <c r="G14" s="37"/>
      <c r="H14" s="37"/>
      <c r="I14" s="37"/>
      <c r="J14" s="37"/>
      <c r="K14" s="36"/>
      <c r="M14" s="7" t="s">
        <v>118</v>
      </c>
      <c r="N14" s="7"/>
      <c r="O14" s="7"/>
      <c r="P14" s="7"/>
      <c r="Q14" s="114"/>
      <c r="R14" s="114"/>
      <c r="T14" s="5"/>
    </row>
    <row r="15" spans="1:20" x14ac:dyDescent="0.2">
      <c r="A15" s="38"/>
      <c r="B15" s="40"/>
      <c r="C15" s="42" t="s">
        <v>17</v>
      </c>
      <c r="D15" s="54">
        <v>12</v>
      </c>
      <c r="E15" s="42">
        <v>24</v>
      </c>
      <c r="F15" s="42">
        <v>36</v>
      </c>
      <c r="G15" s="37"/>
      <c r="H15" s="37"/>
      <c r="I15" s="37"/>
      <c r="J15" s="37"/>
      <c r="K15" s="36"/>
      <c r="M15" s="7"/>
      <c r="N15" s="7"/>
      <c r="O15" s="7"/>
      <c r="P15" s="7"/>
      <c r="Q15" s="114"/>
      <c r="R15" s="114"/>
      <c r="T15" s="5"/>
    </row>
    <row r="16" spans="1:20" x14ac:dyDescent="0.2">
      <c r="A16" s="38"/>
      <c r="B16" s="40"/>
      <c r="C16" s="42">
        <v>2014</v>
      </c>
      <c r="D16" s="50">
        <v>80</v>
      </c>
      <c r="E16" s="50">
        <v>95</v>
      </c>
      <c r="F16" s="50">
        <v>100</v>
      </c>
      <c r="G16" s="37"/>
      <c r="H16" s="37"/>
      <c r="I16" s="37"/>
      <c r="J16" s="37"/>
      <c r="K16" s="36"/>
      <c r="M16" s="186" t="s">
        <v>236</v>
      </c>
      <c r="N16" s="186"/>
      <c r="O16" s="186"/>
      <c r="P16" s="186"/>
      <c r="Q16" s="114"/>
      <c r="R16" s="114"/>
      <c r="T16" s="5"/>
    </row>
    <row r="17" spans="1:20" x14ac:dyDescent="0.2">
      <c r="A17" s="38"/>
      <c r="B17" s="40"/>
      <c r="C17" s="51">
        <v>2015</v>
      </c>
      <c r="D17" s="50">
        <v>85</v>
      </c>
      <c r="E17" s="50">
        <v>99</v>
      </c>
      <c r="F17" s="51"/>
      <c r="G17" s="37"/>
      <c r="H17" s="37"/>
      <c r="I17" s="37"/>
      <c r="J17" s="37"/>
      <c r="K17" s="36"/>
      <c r="M17" s="24" t="s">
        <v>21</v>
      </c>
      <c r="N17" s="114"/>
      <c r="O17" s="114"/>
      <c r="P17" s="114"/>
      <c r="Q17" s="114"/>
      <c r="R17" s="114"/>
      <c r="S17" s="114"/>
      <c r="T17" s="5"/>
    </row>
    <row r="18" spans="1:20" ht="17" x14ac:dyDescent="0.2">
      <c r="A18" s="38"/>
      <c r="B18" s="40"/>
      <c r="C18" s="51">
        <v>2016</v>
      </c>
      <c r="D18" s="50">
        <v>87</v>
      </c>
      <c r="E18" s="51"/>
      <c r="F18" s="51"/>
      <c r="G18" s="37"/>
      <c r="H18" s="37"/>
      <c r="I18" s="37"/>
      <c r="J18" s="37"/>
      <c r="K18" s="36"/>
      <c r="M18" s="16" t="s">
        <v>17</v>
      </c>
      <c r="N18" s="111">
        <v>12</v>
      </c>
      <c r="O18" s="111">
        <v>24</v>
      </c>
      <c r="P18" s="111">
        <v>36</v>
      </c>
      <c r="Q18" s="114"/>
      <c r="R18" s="114"/>
      <c r="S18" s="114"/>
      <c r="T18" s="5"/>
    </row>
    <row r="19" spans="1:20" x14ac:dyDescent="0.2">
      <c r="A19" s="38"/>
      <c r="B19" s="40"/>
      <c r="C19" s="37"/>
      <c r="D19" s="37"/>
      <c r="E19" s="37"/>
      <c r="F19" s="37"/>
      <c r="G19" s="37"/>
      <c r="H19" s="37"/>
      <c r="I19" s="37"/>
      <c r="J19" s="37"/>
      <c r="K19" s="36"/>
      <c r="M19" s="11">
        <f>C9</f>
        <v>2014</v>
      </c>
      <c r="N19" s="158">
        <f>D9/D16*(1-0.25)</f>
        <v>643.125</v>
      </c>
      <c r="O19" s="158">
        <f>E9/E16*(1-0.25)</f>
        <v>693.15789473684208</v>
      </c>
      <c r="P19" s="158">
        <f>F9/F16*(1-0.25)</f>
        <v>750</v>
      </c>
      <c r="Q19" s="114"/>
      <c r="R19" s="114"/>
      <c r="S19" s="114"/>
      <c r="T19" s="9"/>
    </row>
    <row r="20" spans="1:20" x14ac:dyDescent="0.2">
      <c r="A20" s="38"/>
      <c r="B20" s="40"/>
      <c r="C20" s="37" t="s">
        <v>235</v>
      </c>
      <c r="D20" s="37"/>
      <c r="E20" s="37"/>
      <c r="F20" s="37"/>
      <c r="G20" s="37"/>
      <c r="H20" s="37"/>
      <c r="I20" s="37"/>
      <c r="J20" s="37"/>
      <c r="K20" s="36"/>
      <c r="M20" s="11">
        <f>C10</f>
        <v>2015</v>
      </c>
      <c r="N20" s="158">
        <f>D10/D17*(1-0.25)</f>
        <v>642.35294117647061</v>
      </c>
      <c r="O20" s="158">
        <f>E10/E17*(1-0.25)</f>
        <v>693.18181818181824</v>
      </c>
      <c r="P20" s="9"/>
      <c r="Q20" s="114"/>
      <c r="R20" s="114"/>
      <c r="S20" s="114"/>
      <c r="T20" s="9"/>
    </row>
    <row r="21" spans="1:20" x14ac:dyDescent="0.2">
      <c r="A21" s="38"/>
      <c r="B21" s="40"/>
      <c r="C21" s="37" t="s">
        <v>234</v>
      </c>
      <c r="D21" s="37"/>
      <c r="E21" s="37"/>
      <c r="F21" s="37"/>
      <c r="G21" s="37"/>
      <c r="H21" s="37"/>
      <c r="I21" s="37"/>
      <c r="J21" s="37"/>
      <c r="K21" s="36"/>
      <c r="M21" s="11">
        <f>C11</f>
        <v>2016</v>
      </c>
      <c r="N21" s="9">
        <f>D11/D18</f>
        <v>642.52873563218395</v>
      </c>
      <c r="O21" s="9"/>
      <c r="P21" s="9"/>
      <c r="Q21" s="9"/>
      <c r="R21" s="9"/>
      <c r="S21" s="9"/>
      <c r="T21" s="9"/>
    </row>
    <row r="22" spans="1:20" x14ac:dyDescent="0.2">
      <c r="A22" s="38"/>
      <c r="B22" s="40"/>
      <c r="C22" s="37" t="s">
        <v>233</v>
      </c>
      <c r="D22" s="37"/>
      <c r="E22" s="37"/>
      <c r="F22" s="37"/>
      <c r="G22" s="37"/>
      <c r="H22" s="37"/>
      <c r="I22" s="37"/>
      <c r="J22" s="37"/>
      <c r="K22" s="36"/>
      <c r="M22" s="9"/>
      <c r="N22" s="9"/>
      <c r="O22" s="9"/>
      <c r="P22" s="9"/>
      <c r="Q22" s="9"/>
      <c r="R22" s="9"/>
      <c r="S22" s="9"/>
      <c r="T22" s="9"/>
    </row>
    <row r="23" spans="1:20" x14ac:dyDescent="0.2">
      <c r="A23" s="38"/>
      <c r="B23" s="40"/>
      <c r="C23" s="37" t="s">
        <v>232</v>
      </c>
      <c r="D23" s="37"/>
      <c r="E23" s="37"/>
      <c r="F23" s="37"/>
      <c r="G23" s="37"/>
      <c r="H23" s="37"/>
      <c r="I23" s="37"/>
      <c r="J23" s="37"/>
      <c r="K23" s="36"/>
      <c r="M23" s="24" t="s">
        <v>21</v>
      </c>
      <c r="P23" s="114"/>
      <c r="Q23" s="114"/>
      <c r="R23" s="114"/>
      <c r="S23" s="5"/>
      <c r="T23" s="5"/>
    </row>
    <row r="24" spans="1:20" ht="17" x14ac:dyDescent="0.2">
      <c r="A24" s="38"/>
      <c r="B24" s="37"/>
      <c r="C24" s="37"/>
      <c r="D24" s="37"/>
      <c r="E24" s="37"/>
      <c r="F24" s="37"/>
      <c r="G24" s="37"/>
      <c r="H24" s="37"/>
      <c r="I24" s="37"/>
      <c r="J24" s="37"/>
      <c r="K24" s="36"/>
      <c r="M24" s="16" t="s">
        <v>17</v>
      </c>
      <c r="N24" s="112" t="s">
        <v>113</v>
      </c>
      <c r="O24" s="111" t="s">
        <v>112</v>
      </c>
      <c r="P24" s="114"/>
      <c r="Q24" s="114"/>
      <c r="R24" s="114"/>
      <c r="S24" s="5"/>
      <c r="T24" s="5"/>
    </row>
    <row r="25" spans="1:20" x14ac:dyDescent="0.2">
      <c r="A25" s="38"/>
      <c r="B25" s="37"/>
      <c r="C25" s="91" t="s">
        <v>231</v>
      </c>
      <c r="D25" s="37"/>
      <c r="E25" s="37"/>
      <c r="F25" s="37"/>
      <c r="G25" s="37"/>
      <c r="H25" s="37"/>
      <c r="I25" s="37"/>
      <c r="J25" s="37"/>
      <c r="K25" s="36"/>
      <c r="M25" s="11">
        <f>M7</f>
        <v>2014</v>
      </c>
      <c r="N25" s="108">
        <f>O19/N19</f>
        <v>1.0777965321466931</v>
      </c>
      <c r="O25" s="108">
        <f>P19/O19</f>
        <v>1.0820045558086562</v>
      </c>
      <c r="P25" s="114"/>
      <c r="Q25" s="114"/>
      <c r="R25" s="114"/>
      <c r="S25" s="5"/>
      <c r="T25" s="5"/>
    </row>
    <row r="26" spans="1:20" ht="17" thickBot="1" x14ac:dyDescent="0.25">
      <c r="A26" s="38"/>
      <c r="B26" s="37"/>
      <c r="C26" s="91"/>
      <c r="D26" s="37"/>
      <c r="E26" s="37"/>
      <c r="F26" s="37"/>
      <c r="G26" s="37"/>
      <c r="H26" s="37"/>
      <c r="I26" s="37"/>
      <c r="J26" s="37"/>
      <c r="K26" s="36"/>
      <c r="M26" s="11">
        <f>M8</f>
        <v>2015</v>
      </c>
      <c r="N26" s="108">
        <f>O20/N20</f>
        <v>1.0791292041292042</v>
      </c>
      <c r="O26" s="108"/>
      <c r="P26" s="108"/>
      <c r="Q26" s="108"/>
      <c r="R26" s="108"/>
      <c r="S26" s="5"/>
    </row>
    <row r="27" spans="1:20" ht="17" thickBot="1" x14ac:dyDescent="0.25">
      <c r="A27" s="35" t="s">
        <v>32</v>
      </c>
      <c r="B27" s="33"/>
      <c r="C27" s="34"/>
      <c r="D27" s="33"/>
      <c r="E27" s="33"/>
      <c r="F27" s="33"/>
      <c r="G27" s="33"/>
      <c r="H27" s="33"/>
      <c r="I27" s="33"/>
      <c r="J27" s="33"/>
      <c r="K27" s="32"/>
    </row>
    <row r="28" spans="1:20" ht="17" x14ac:dyDescent="0.2">
      <c r="M28" s="16"/>
      <c r="N28" s="112" t="s">
        <v>113</v>
      </c>
      <c r="O28" s="111" t="s">
        <v>112</v>
      </c>
      <c r="P28" s="111" t="s">
        <v>110</v>
      </c>
      <c r="R28" s="1"/>
      <c r="S28" s="1"/>
      <c r="T28" s="1"/>
    </row>
    <row r="29" spans="1:20" x14ac:dyDescent="0.2">
      <c r="M29" s="110" t="s">
        <v>109</v>
      </c>
      <c r="N29" s="108">
        <f>AVERAGE(N25:N26)</f>
        <v>1.0784628681379487</v>
      </c>
      <c r="O29" s="108">
        <f>AVERAGE(O25:O26)</f>
        <v>1.0820045558086562</v>
      </c>
      <c r="P29" s="108">
        <v>1</v>
      </c>
      <c r="R29" s="1"/>
      <c r="S29" s="1"/>
      <c r="T29" s="1"/>
    </row>
    <row r="30" spans="1:20" x14ac:dyDescent="0.2">
      <c r="M30" s="110" t="s">
        <v>104</v>
      </c>
      <c r="N30" s="109">
        <f>N29*O30</f>
        <v>1.1669017365957306</v>
      </c>
      <c r="O30" s="109">
        <f>O29*P30</f>
        <v>1.0820045558086562</v>
      </c>
      <c r="P30" s="109">
        <f>P29</f>
        <v>1</v>
      </c>
      <c r="R30" s="1"/>
      <c r="S30" s="1"/>
      <c r="T30" s="1"/>
    </row>
    <row r="31" spans="1:20" x14ac:dyDescent="0.2">
      <c r="M31" s="5"/>
      <c r="N31" s="5"/>
      <c r="O31" s="5"/>
      <c r="P31" s="5"/>
      <c r="Q31" s="5"/>
      <c r="R31" s="5"/>
      <c r="S31" s="5"/>
    </row>
    <row r="32" spans="1:20" x14ac:dyDescent="0.2">
      <c r="M32" s="5" t="s">
        <v>101</v>
      </c>
      <c r="N32" s="5"/>
      <c r="O32" s="5"/>
      <c r="P32" s="5"/>
      <c r="Q32" s="5"/>
      <c r="R32" s="5"/>
      <c r="S32" s="5"/>
    </row>
    <row r="33" spans="13:20" x14ac:dyDescent="0.2">
      <c r="M33" s="5"/>
      <c r="N33" s="5"/>
      <c r="O33" s="5"/>
      <c r="P33" s="5"/>
      <c r="Q33" s="5"/>
      <c r="R33" s="5"/>
      <c r="S33" s="5"/>
      <c r="T33" s="5"/>
    </row>
    <row r="34" spans="13:20" x14ac:dyDescent="0.2">
      <c r="M34" s="5" t="s">
        <v>164</v>
      </c>
      <c r="N34" s="5"/>
      <c r="O34" s="5"/>
      <c r="P34" s="5"/>
      <c r="Q34" s="5"/>
      <c r="R34" s="5"/>
      <c r="S34" s="5"/>
      <c r="T34" s="5"/>
    </row>
    <row r="35" spans="13:20" x14ac:dyDescent="0.2">
      <c r="M35" s="5" t="s">
        <v>230</v>
      </c>
      <c r="N35" s="5"/>
      <c r="O35" s="25">
        <f>D18*N12</f>
        <v>107.70626934984521</v>
      </c>
      <c r="P35" s="5"/>
      <c r="Q35" s="5"/>
      <c r="R35" s="5"/>
      <c r="S35" s="5"/>
      <c r="T35" s="5"/>
    </row>
    <row r="36" spans="13:20" ht="17" thickBot="1" x14ac:dyDescent="0.25">
      <c r="M36" s="5" t="s">
        <v>229</v>
      </c>
      <c r="N36" s="5"/>
      <c r="O36" s="25">
        <f>N21*N30</f>
        <v>749.76789742185451</v>
      </c>
      <c r="P36" s="5"/>
      <c r="Q36" s="5"/>
      <c r="R36" s="5"/>
      <c r="S36" s="5"/>
      <c r="T36" s="5"/>
    </row>
    <row r="37" spans="13:20" ht="17" thickBot="1" x14ac:dyDescent="0.25">
      <c r="M37" s="105" t="s">
        <v>97</v>
      </c>
      <c r="N37" s="104"/>
      <c r="O37" s="103">
        <f>O35*O36</f>
        <v>80754.703109585374</v>
      </c>
      <c r="P37" s="5"/>
      <c r="Q37" s="5"/>
      <c r="R37" s="5"/>
      <c r="S37" s="5"/>
      <c r="T37" s="5"/>
    </row>
    <row r="38" spans="13:20" x14ac:dyDescent="0.2">
      <c r="M38" s="5"/>
      <c r="N38" s="5"/>
      <c r="O38" s="5"/>
      <c r="P38" s="5"/>
      <c r="Q38" s="5"/>
      <c r="R38" s="5"/>
      <c r="S38" s="5"/>
      <c r="T38" s="5"/>
    </row>
    <row r="39" spans="13:20" x14ac:dyDescent="0.2">
      <c r="M39" s="5"/>
      <c r="N39" s="5"/>
      <c r="O39" s="5"/>
      <c r="P39" s="5"/>
      <c r="Q39" s="5"/>
      <c r="R39" s="5"/>
      <c r="S39" s="5"/>
      <c r="T39" s="5"/>
    </row>
    <row r="40" spans="13:20" ht="19" x14ac:dyDescent="0.25">
      <c r="M40" s="101" t="s">
        <v>3</v>
      </c>
      <c r="N40" s="5"/>
      <c r="O40" s="5"/>
      <c r="P40" s="5"/>
      <c r="Q40" s="5"/>
      <c r="R40" s="5"/>
      <c r="S40" s="5"/>
      <c r="T40" s="5"/>
    </row>
    <row r="41" spans="13:20" x14ac:dyDescent="0.2">
      <c r="M41" s="205" t="s">
        <v>228</v>
      </c>
      <c r="N41" s="205"/>
      <c r="O41" s="205"/>
      <c r="P41" s="205"/>
      <c r="Q41" s="205"/>
      <c r="R41" s="205"/>
      <c r="S41" s="205"/>
      <c r="T41" s="5"/>
    </row>
    <row r="42" spans="13:20" x14ac:dyDescent="0.2">
      <c r="M42" s="205"/>
      <c r="N42" s="205"/>
      <c r="O42" s="205"/>
      <c r="P42" s="205"/>
      <c r="Q42" s="205"/>
      <c r="R42" s="205"/>
      <c r="S42" s="205"/>
      <c r="T42" s="5"/>
    </row>
    <row r="43" spans="13:20" x14ac:dyDescent="0.2">
      <c r="M43" s="5"/>
      <c r="N43" s="5"/>
      <c r="O43" s="5"/>
      <c r="P43" s="5"/>
      <c r="Q43" s="5"/>
      <c r="R43" s="5"/>
      <c r="S43" s="5"/>
      <c r="T43" s="5"/>
    </row>
    <row r="44" spans="13:20" ht="19" x14ac:dyDescent="0.25">
      <c r="M44" s="101" t="s">
        <v>1</v>
      </c>
      <c r="N44" s="5"/>
      <c r="O44" s="5"/>
      <c r="P44" s="5"/>
      <c r="Q44" s="5"/>
      <c r="R44" s="5"/>
      <c r="S44" s="5"/>
      <c r="T44" s="5"/>
    </row>
    <row r="45" spans="13:20" x14ac:dyDescent="0.2">
      <c r="M45" s="5" t="s">
        <v>95</v>
      </c>
      <c r="N45" s="5"/>
      <c r="O45" s="5"/>
      <c r="P45" s="5"/>
      <c r="Q45" s="5"/>
      <c r="R45" s="5"/>
      <c r="S45" s="5"/>
      <c r="T45" s="5"/>
    </row>
    <row r="46" spans="13:20" x14ac:dyDescent="0.2">
      <c r="M46" s="5"/>
      <c r="N46" s="5"/>
      <c r="O46" s="5"/>
      <c r="P46" s="5"/>
      <c r="Q46" s="5"/>
      <c r="R46" s="5"/>
      <c r="S46" s="5"/>
      <c r="T46" s="5"/>
    </row>
    <row r="47" spans="13:20" x14ac:dyDescent="0.2">
      <c r="M47" s="5"/>
      <c r="N47" s="5"/>
      <c r="O47" s="5"/>
      <c r="P47" s="5"/>
      <c r="Q47" s="5"/>
      <c r="R47" s="5"/>
      <c r="S47" s="5"/>
      <c r="T47" s="5"/>
    </row>
    <row r="48" spans="13:20" x14ac:dyDescent="0.2">
      <c r="M48" s="5"/>
      <c r="N48" s="5"/>
      <c r="O48" s="5"/>
      <c r="P48" s="5"/>
      <c r="Q48" s="5"/>
      <c r="R48" s="5"/>
      <c r="S48" s="5"/>
      <c r="T48" s="5"/>
    </row>
    <row r="49" spans="13:20" x14ac:dyDescent="0.2">
      <c r="M49" s="5"/>
      <c r="N49" s="5"/>
      <c r="O49" s="5"/>
      <c r="P49" s="5"/>
      <c r="Q49" s="5"/>
      <c r="R49" s="5"/>
      <c r="S49" s="5"/>
      <c r="T49" s="5"/>
    </row>
    <row r="50" spans="13:20" x14ac:dyDescent="0.2">
      <c r="M50" s="5"/>
      <c r="N50" s="5"/>
      <c r="O50" s="5"/>
      <c r="P50" s="5"/>
      <c r="Q50" s="5"/>
      <c r="R50" s="5"/>
      <c r="S50" s="5"/>
      <c r="T50" s="5"/>
    </row>
    <row r="51" spans="13:20" x14ac:dyDescent="0.2">
      <c r="M51" s="5"/>
      <c r="N51" s="157"/>
      <c r="O51" s="5"/>
      <c r="P51" s="5"/>
      <c r="Q51" s="5"/>
      <c r="R51" s="5"/>
      <c r="S51" s="5"/>
      <c r="T51" s="5"/>
    </row>
    <row r="52" spans="13:20" x14ac:dyDescent="0.2">
      <c r="M52" s="5"/>
      <c r="N52" s="157"/>
      <c r="O52" s="5"/>
      <c r="P52" s="5"/>
      <c r="Q52" s="5"/>
      <c r="R52" s="5"/>
      <c r="S52" s="5"/>
      <c r="T52" s="5"/>
    </row>
    <row r="53" spans="13:20" x14ac:dyDescent="0.2">
      <c r="M53" s="5"/>
      <c r="N53" s="157"/>
      <c r="O53" s="5"/>
      <c r="P53" s="5"/>
      <c r="Q53" s="5"/>
      <c r="R53" s="5"/>
      <c r="S53" s="5"/>
      <c r="T53" s="5"/>
    </row>
    <row r="54" spans="13:20" x14ac:dyDescent="0.2">
      <c r="M54" s="5"/>
      <c r="N54" s="157"/>
      <c r="O54" s="5"/>
      <c r="P54" s="5"/>
      <c r="Q54" s="5"/>
      <c r="R54" s="5"/>
      <c r="S54" s="5"/>
      <c r="T54" s="5"/>
    </row>
    <row r="55" spans="13:20" x14ac:dyDescent="0.2">
      <c r="M55" s="5"/>
      <c r="N55" s="157"/>
      <c r="O55" s="5"/>
      <c r="P55" s="5"/>
      <c r="Q55" s="5"/>
      <c r="R55" s="5"/>
      <c r="S55" s="5"/>
      <c r="T55" s="5"/>
    </row>
    <row r="56" spans="13:20" x14ac:dyDescent="0.2">
      <c r="M56" s="5"/>
      <c r="N56" s="157"/>
      <c r="O56" s="5"/>
      <c r="P56" s="5"/>
      <c r="Q56" s="5"/>
      <c r="R56" s="5"/>
      <c r="S56" s="5"/>
      <c r="T56" s="5"/>
    </row>
    <row r="57" spans="13:20" x14ac:dyDescent="0.2">
      <c r="M57" s="5"/>
      <c r="N57" s="157"/>
      <c r="O57" s="5"/>
      <c r="P57" s="5"/>
      <c r="Q57" s="5"/>
      <c r="R57" s="5"/>
      <c r="S57" s="5"/>
      <c r="T57" s="5"/>
    </row>
    <row r="58" spans="13:20" x14ac:dyDescent="0.2">
      <c r="M58" s="5"/>
      <c r="N58" s="157"/>
      <c r="O58" s="5"/>
      <c r="P58" s="5"/>
      <c r="Q58" s="5"/>
      <c r="R58" s="5"/>
      <c r="S58" s="5"/>
      <c r="T58" s="5"/>
    </row>
    <row r="59" spans="13:20" x14ac:dyDescent="0.2">
      <c r="M59" s="5"/>
      <c r="N59" s="157"/>
      <c r="O59" s="5"/>
      <c r="P59" s="5"/>
      <c r="Q59" s="5"/>
      <c r="R59" s="5"/>
      <c r="S59" s="5"/>
      <c r="T59" s="5"/>
    </row>
    <row r="60" spans="13:20" x14ac:dyDescent="0.2">
      <c r="M60" s="5"/>
      <c r="N60" s="157"/>
      <c r="O60" s="5"/>
      <c r="P60" s="5"/>
      <c r="Q60" s="5"/>
      <c r="R60" s="5"/>
      <c r="S60" s="5"/>
      <c r="T60" s="5"/>
    </row>
    <row r="61" spans="13:20" x14ac:dyDescent="0.2">
      <c r="M61" s="5"/>
      <c r="N61" s="157"/>
      <c r="O61" s="5"/>
      <c r="P61" s="5"/>
      <c r="Q61" s="5"/>
      <c r="R61" s="5"/>
      <c r="S61" s="5"/>
      <c r="T61" s="5"/>
    </row>
    <row r="62" spans="13:20" x14ac:dyDescent="0.2">
      <c r="M62" s="5"/>
      <c r="N62" s="157"/>
      <c r="O62" s="5"/>
      <c r="P62" s="5"/>
      <c r="Q62" s="5"/>
      <c r="R62" s="5"/>
      <c r="S62" s="5"/>
      <c r="T62" s="5"/>
    </row>
    <row r="63" spans="13:20" x14ac:dyDescent="0.2">
      <c r="M63" s="5"/>
      <c r="N63" s="157"/>
      <c r="O63" s="5"/>
      <c r="P63" s="5"/>
      <c r="Q63" s="5"/>
      <c r="R63" s="5"/>
      <c r="S63" s="5"/>
      <c r="T63" s="5"/>
    </row>
    <row r="64" spans="13:20" x14ac:dyDescent="0.2">
      <c r="M64" s="5"/>
      <c r="N64" s="157"/>
      <c r="O64" s="5"/>
      <c r="P64" s="5"/>
      <c r="Q64" s="5"/>
      <c r="R64" s="5"/>
      <c r="S64" s="5"/>
      <c r="T64" s="5"/>
    </row>
    <row r="65" spans="13:20" x14ac:dyDescent="0.2">
      <c r="M65" s="157"/>
      <c r="N65" s="5"/>
      <c r="O65" s="5"/>
      <c r="P65" s="5"/>
      <c r="Q65" s="5"/>
      <c r="R65" s="5"/>
      <c r="S65" s="5"/>
      <c r="T65" s="5"/>
    </row>
    <row r="66" spans="13:20" x14ac:dyDescent="0.2">
      <c r="M66" s="157"/>
      <c r="N66" s="5"/>
      <c r="O66" s="5"/>
      <c r="P66" s="5"/>
      <c r="Q66" s="5"/>
      <c r="R66" s="5"/>
      <c r="S66" s="5"/>
      <c r="T66" s="5"/>
    </row>
    <row r="67" spans="13:20" x14ac:dyDescent="0.2">
      <c r="M67" s="157"/>
      <c r="N67" s="5"/>
      <c r="O67" s="5"/>
      <c r="P67" s="5"/>
      <c r="Q67" s="5"/>
      <c r="R67" s="5"/>
      <c r="S67" s="5"/>
      <c r="T67" s="5"/>
    </row>
    <row r="68" spans="13:20" x14ac:dyDescent="0.2">
      <c r="M68" s="5"/>
      <c r="N68" s="157"/>
      <c r="O68" s="5"/>
      <c r="P68" s="5"/>
      <c r="Q68" s="5"/>
      <c r="R68" s="5"/>
      <c r="S68" s="5"/>
      <c r="T68" s="5"/>
    </row>
    <row r="69" spans="13:20" x14ac:dyDescent="0.2">
      <c r="M69" s="5"/>
      <c r="N69" s="157"/>
      <c r="O69" s="5"/>
      <c r="P69" s="5"/>
      <c r="Q69" s="5"/>
      <c r="R69" s="5"/>
      <c r="S69" s="5"/>
      <c r="T69" s="5"/>
    </row>
    <row r="70" spans="13:20" x14ac:dyDescent="0.2">
      <c r="M70" s="5"/>
      <c r="N70" s="157"/>
      <c r="O70" s="5"/>
      <c r="P70" s="5"/>
      <c r="Q70" s="5"/>
      <c r="R70" s="5"/>
      <c r="S70" s="5"/>
    </row>
    <row r="71" spans="13:20" x14ac:dyDescent="0.2">
      <c r="M71" s="157"/>
      <c r="N71" s="5"/>
      <c r="O71" s="5"/>
      <c r="P71" s="5"/>
      <c r="Q71" s="5"/>
      <c r="R71" s="5"/>
      <c r="S71" s="5"/>
    </row>
    <row r="72" spans="13:20" x14ac:dyDescent="0.2">
      <c r="M72" s="5"/>
      <c r="N72" s="5"/>
      <c r="O72" s="5"/>
      <c r="P72" s="157"/>
      <c r="Q72" s="5"/>
      <c r="R72" s="5"/>
      <c r="S72" s="5"/>
    </row>
    <row r="73" spans="13:20" x14ac:dyDescent="0.2">
      <c r="M73" s="5"/>
      <c r="N73" s="5"/>
      <c r="O73" s="5"/>
      <c r="P73" s="157"/>
      <c r="Q73" s="5"/>
      <c r="R73" s="5"/>
      <c r="S73" s="5"/>
    </row>
    <row r="74" spans="13:20" x14ac:dyDescent="0.2">
      <c r="M74" s="5"/>
      <c r="N74" s="5"/>
      <c r="O74" s="5"/>
      <c r="P74" s="157"/>
      <c r="Q74" s="5"/>
      <c r="R74" s="5"/>
      <c r="S74" s="5"/>
    </row>
    <row r="75" spans="13:20" x14ac:dyDescent="0.2">
      <c r="M75" s="5"/>
      <c r="N75" s="5"/>
      <c r="O75" s="5"/>
      <c r="P75" s="157"/>
      <c r="Q75" s="5"/>
      <c r="R75" s="5"/>
      <c r="S75" s="5"/>
    </row>
    <row r="76" spans="13:20" x14ac:dyDescent="0.2">
      <c r="M76" s="5"/>
      <c r="N76" s="5"/>
      <c r="O76" s="5"/>
      <c r="P76" s="157"/>
      <c r="Q76" s="5"/>
      <c r="R76" s="5"/>
      <c r="S76" s="5"/>
    </row>
    <row r="77" spans="13:20" x14ac:dyDescent="0.2">
      <c r="M77" s="5"/>
      <c r="N77" s="5"/>
      <c r="O77" s="5"/>
      <c r="P77" s="157"/>
      <c r="Q77" s="5"/>
      <c r="R77" s="5"/>
      <c r="S77" s="5"/>
    </row>
    <row r="78" spans="13:20" x14ac:dyDescent="0.2">
      <c r="M78" s="5"/>
      <c r="N78" s="5"/>
      <c r="O78" s="5"/>
      <c r="P78" s="157"/>
      <c r="Q78" s="5"/>
      <c r="R78" s="5"/>
      <c r="S78" s="5"/>
    </row>
    <row r="79" spans="13:20" x14ac:dyDescent="0.2">
      <c r="M79" s="5"/>
      <c r="N79" s="5"/>
      <c r="O79" s="5"/>
      <c r="P79" s="157"/>
      <c r="Q79" s="5"/>
      <c r="R79" s="5"/>
      <c r="S79" s="5"/>
    </row>
    <row r="80" spans="13:20" x14ac:dyDescent="0.2">
      <c r="M80" s="157"/>
      <c r="N80" s="5"/>
      <c r="O80" s="5"/>
      <c r="P80" s="5"/>
      <c r="Q80" s="5"/>
      <c r="R80" s="5"/>
      <c r="S80" s="5"/>
    </row>
  </sheetData>
  <mergeCells count="6">
    <mergeCell ref="M41:S42"/>
    <mergeCell ref="M16:P16"/>
    <mergeCell ref="D6:F6"/>
    <mergeCell ref="D7:F7"/>
    <mergeCell ref="D13:F13"/>
    <mergeCell ref="D14:F14"/>
  </mergeCell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88989-A029-1545-B713-729C37CD34A6}">
  <dimension ref="A1:V68"/>
  <sheetViews>
    <sheetView workbookViewId="0">
      <selection activeCell="B1" sqref="B1"/>
    </sheetView>
  </sheetViews>
  <sheetFormatPr baseColWidth="10" defaultColWidth="11" defaultRowHeight="16" outlineLevelCol="1" x14ac:dyDescent="0.2"/>
  <cols>
    <col min="1" max="1" width="4" style="2" customWidth="1"/>
    <col min="2" max="2" width="11.5" style="1" customWidth="1"/>
    <col min="3" max="11" width="11" style="1"/>
    <col min="12" max="18" width="10.83203125" style="1" hidden="1" customWidth="1" outlineLevel="1"/>
    <col min="19" max="19" width="11" style="1" hidden="1" customWidth="1" outlineLevel="1"/>
    <col min="20" max="20" width="11" style="1" collapsed="1"/>
    <col min="21" max="16384" width="11" style="1"/>
  </cols>
  <sheetData>
    <row r="1" spans="1:19" x14ac:dyDescent="0.2">
      <c r="A1" s="71"/>
      <c r="B1" s="70" t="s">
        <v>70</v>
      </c>
      <c r="C1" s="69" t="s">
        <v>195</v>
      </c>
      <c r="D1" s="69" t="s">
        <v>68</v>
      </c>
      <c r="E1" s="69" t="s">
        <v>129</v>
      </c>
      <c r="F1" s="68"/>
      <c r="G1" s="68"/>
      <c r="H1" s="68"/>
      <c r="I1" s="68"/>
      <c r="J1" s="67"/>
      <c r="K1" s="64" t="s">
        <v>66</v>
      </c>
    </row>
    <row r="2" spans="1:19" x14ac:dyDescent="0.2">
      <c r="A2" s="38"/>
      <c r="B2" s="66" t="s">
        <v>65</v>
      </c>
      <c r="C2" s="65">
        <v>3.25</v>
      </c>
      <c r="D2" s="37"/>
      <c r="E2" s="37"/>
      <c r="F2" s="37"/>
      <c r="G2" s="37"/>
      <c r="H2" s="37"/>
      <c r="I2" s="37"/>
      <c r="J2" s="36"/>
    </row>
    <row r="3" spans="1:19" x14ac:dyDescent="0.2">
      <c r="A3" s="38"/>
      <c r="B3" s="37"/>
      <c r="C3" s="37"/>
      <c r="D3" s="37"/>
      <c r="E3" s="37"/>
      <c r="F3" s="37"/>
      <c r="G3" s="37"/>
      <c r="H3" s="37"/>
      <c r="I3" s="37"/>
      <c r="J3" s="36"/>
      <c r="L3" s="64" t="s">
        <v>64</v>
      </c>
    </row>
    <row r="4" spans="1:19" x14ac:dyDescent="0.2">
      <c r="A4" s="38"/>
      <c r="B4" s="37"/>
      <c r="C4" s="37" t="s">
        <v>227</v>
      </c>
      <c r="D4" s="37"/>
      <c r="E4" s="37"/>
      <c r="F4" s="37"/>
      <c r="G4" s="37"/>
      <c r="H4" s="37"/>
      <c r="I4" s="37"/>
      <c r="J4" s="36"/>
      <c r="L4" s="1" t="s">
        <v>226</v>
      </c>
    </row>
    <row r="5" spans="1:19" x14ac:dyDescent="0.2">
      <c r="A5" s="38"/>
      <c r="B5" s="37"/>
      <c r="C5" s="37"/>
      <c r="D5" s="37"/>
      <c r="E5" s="37"/>
      <c r="F5" s="37"/>
      <c r="G5" s="37"/>
      <c r="H5" s="37"/>
      <c r="I5" s="37"/>
      <c r="J5" s="36"/>
    </row>
    <row r="6" spans="1:19" x14ac:dyDescent="0.2">
      <c r="A6" s="38"/>
      <c r="B6" s="37"/>
      <c r="C6" s="63"/>
      <c r="D6" s="196" t="s">
        <v>225</v>
      </c>
      <c r="E6" s="206"/>
      <c r="F6" s="206"/>
      <c r="G6" s="206"/>
      <c r="H6" s="206"/>
      <c r="I6" s="197"/>
      <c r="J6" s="36"/>
      <c r="L6" s="208" t="s">
        <v>124</v>
      </c>
      <c r="M6" s="208"/>
      <c r="N6" s="208"/>
      <c r="O6" s="208"/>
      <c r="P6" s="208"/>
      <c r="Q6" s="208"/>
      <c r="R6" s="5"/>
      <c r="S6" s="5"/>
    </row>
    <row r="7" spans="1:19" x14ac:dyDescent="0.2">
      <c r="A7" s="38"/>
      <c r="B7" s="37"/>
      <c r="C7" s="59" t="s">
        <v>21</v>
      </c>
      <c r="D7" s="200" t="s">
        <v>224</v>
      </c>
      <c r="E7" s="207"/>
      <c r="F7" s="207"/>
      <c r="G7" s="207"/>
      <c r="H7" s="207"/>
      <c r="I7" s="201"/>
      <c r="J7" s="36"/>
      <c r="L7" s="24" t="s">
        <v>21</v>
      </c>
      <c r="M7" s="10"/>
      <c r="N7" s="10"/>
      <c r="O7" s="10"/>
      <c r="P7" s="10"/>
      <c r="Q7" s="10"/>
      <c r="R7" s="5"/>
      <c r="S7" s="5"/>
    </row>
    <row r="8" spans="1:19" ht="17" x14ac:dyDescent="0.2">
      <c r="A8" s="38"/>
      <c r="B8" s="37"/>
      <c r="C8" s="42" t="s">
        <v>221</v>
      </c>
      <c r="D8" s="54">
        <v>6</v>
      </c>
      <c r="E8" s="42">
        <v>12</v>
      </c>
      <c r="F8" s="42">
        <v>18</v>
      </c>
      <c r="G8" s="42">
        <v>24</v>
      </c>
      <c r="H8" s="42">
        <v>30</v>
      </c>
      <c r="I8" s="42">
        <v>36</v>
      </c>
      <c r="J8" s="36"/>
      <c r="L8" s="16" t="s">
        <v>17</v>
      </c>
      <c r="M8" s="112" t="s">
        <v>211</v>
      </c>
      <c r="N8" s="111" t="s">
        <v>210</v>
      </c>
      <c r="O8" s="111" t="s">
        <v>209</v>
      </c>
      <c r="P8" s="111" t="s">
        <v>208</v>
      </c>
      <c r="Q8" s="111" t="s">
        <v>207</v>
      </c>
      <c r="R8" s="5"/>
      <c r="S8" s="5"/>
    </row>
    <row r="9" spans="1:19" ht="17" x14ac:dyDescent="0.2">
      <c r="A9" s="38"/>
      <c r="B9" s="37"/>
      <c r="C9" s="42" t="s">
        <v>220</v>
      </c>
      <c r="D9" s="50">
        <v>3700</v>
      </c>
      <c r="E9" s="50">
        <v>3515</v>
      </c>
      <c r="F9" s="50">
        <v>3508</v>
      </c>
      <c r="G9" s="50">
        <v>3504</v>
      </c>
      <c r="H9" s="50">
        <v>3504</v>
      </c>
      <c r="I9" s="50">
        <v>3504</v>
      </c>
      <c r="J9" s="36"/>
      <c r="L9" s="11" t="str">
        <f>C9</f>
        <v xml:space="preserve">2014-1 </v>
      </c>
      <c r="M9" s="108">
        <f>E9/D9</f>
        <v>0.95</v>
      </c>
      <c r="N9" s="108">
        <f>F9/E9</f>
        <v>0.99800853485064012</v>
      </c>
      <c r="O9" s="108">
        <f>G9/F9</f>
        <v>0.9988597491448119</v>
      </c>
      <c r="P9" s="108">
        <f>H9/G9</f>
        <v>1</v>
      </c>
      <c r="Q9" s="108">
        <f>I9/H9</f>
        <v>1</v>
      </c>
      <c r="R9" s="5"/>
      <c r="S9" s="5"/>
    </row>
    <row r="10" spans="1:19" ht="17" x14ac:dyDescent="0.2">
      <c r="A10" s="38"/>
      <c r="B10" s="37"/>
      <c r="C10" s="51" t="s">
        <v>219</v>
      </c>
      <c r="D10" s="50">
        <v>4000</v>
      </c>
      <c r="E10" s="50">
        <v>3800</v>
      </c>
      <c r="F10" s="50">
        <v>3792</v>
      </c>
      <c r="G10" s="50">
        <v>3788</v>
      </c>
      <c r="H10" s="50">
        <v>3788</v>
      </c>
      <c r="I10" s="50"/>
      <c r="J10" s="36"/>
      <c r="L10" s="11" t="str">
        <f>C10</f>
        <v>2014-2</v>
      </c>
      <c r="M10" s="108">
        <f>E10/D10</f>
        <v>0.95</v>
      </c>
      <c r="N10" s="108">
        <f>F10/E10</f>
        <v>0.99789473684210528</v>
      </c>
      <c r="O10" s="108">
        <f>G10/F10</f>
        <v>0.99894514767932485</v>
      </c>
      <c r="P10" s="108">
        <f>H10/G10</f>
        <v>1</v>
      </c>
      <c r="Q10" s="108"/>
      <c r="R10" s="5"/>
      <c r="S10" s="5"/>
    </row>
    <row r="11" spans="1:19" ht="17" x14ac:dyDescent="0.2">
      <c r="A11" s="38"/>
      <c r="B11" s="37"/>
      <c r="C11" s="51" t="s">
        <v>218</v>
      </c>
      <c r="D11" s="50">
        <v>3800</v>
      </c>
      <c r="E11" s="50">
        <v>3610</v>
      </c>
      <c r="F11" s="50">
        <v>3603</v>
      </c>
      <c r="G11" s="50">
        <v>3599</v>
      </c>
      <c r="H11" s="50"/>
      <c r="I11" s="50"/>
      <c r="J11" s="36"/>
      <c r="L11" s="11" t="str">
        <f>C11</f>
        <v>2015-1</v>
      </c>
      <c r="M11" s="108">
        <f>E11/D11</f>
        <v>0.95</v>
      </c>
      <c r="N11" s="108">
        <f>F11/E11</f>
        <v>0.99806094182825489</v>
      </c>
      <c r="O11" s="108">
        <f>G11/F11</f>
        <v>0.99888981404385235</v>
      </c>
      <c r="P11" s="108"/>
      <c r="Q11" s="108"/>
      <c r="R11" s="5"/>
      <c r="S11" s="5"/>
    </row>
    <row r="12" spans="1:19" ht="17" x14ac:dyDescent="0.2">
      <c r="A12" s="38"/>
      <c r="B12" s="37"/>
      <c r="C12" s="51" t="s">
        <v>217</v>
      </c>
      <c r="D12" s="50">
        <v>3700</v>
      </c>
      <c r="E12" s="50">
        <v>3515</v>
      </c>
      <c r="F12" s="50">
        <v>3508</v>
      </c>
      <c r="G12" s="50"/>
      <c r="H12" s="50"/>
      <c r="I12" s="50"/>
      <c r="J12" s="36"/>
      <c r="L12" s="11" t="str">
        <f>C12</f>
        <v xml:space="preserve">2015-2 </v>
      </c>
      <c r="M12" s="108">
        <f>E12/D12</f>
        <v>0.95</v>
      </c>
      <c r="N12" s="108">
        <f>F12/E12</f>
        <v>0.99800853485064012</v>
      </c>
      <c r="O12" s="108"/>
      <c r="P12" s="108"/>
      <c r="Q12" s="108"/>
      <c r="R12" s="5"/>
      <c r="S12" s="5"/>
    </row>
    <row r="13" spans="1:19" ht="17" x14ac:dyDescent="0.2">
      <c r="A13" s="38"/>
      <c r="B13" s="40"/>
      <c r="C13" s="51" t="s">
        <v>216</v>
      </c>
      <c r="D13" s="50">
        <v>3900</v>
      </c>
      <c r="E13" s="50">
        <v>3705</v>
      </c>
      <c r="F13" s="50"/>
      <c r="G13" s="50"/>
      <c r="H13" s="50"/>
      <c r="I13" s="50"/>
      <c r="J13" s="36"/>
      <c r="L13" s="11" t="str">
        <f>C13</f>
        <v xml:space="preserve">2016-1 </v>
      </c>
      <c r="M13" s="108">
        <f>E13/D13</f>
        <v>0.95</v>
      </c>
      <c r="N13" s="108"/>
      <c r="O13" s="108"/>
      <c r="P13" s="108"/>
      <c r="Q13" s="108"/>
      <c r="R13" s="5"/>
      <c r="S13" s="5"/>
    </row>
    <row r="14" spans="1:19" x14ac:dyDescent="0.2">
      <c r="A14" s="38"/>
      <c r="B14" s="40"/>
      <c r="C14" s="51" t="s">
        <v>215</v>
      </c>
      <c r="D14" s="50">
        <v>4100</v>
      </c>
      <c r="E14" s="50"/>
      <c r="F14" s="50"/>
      <c r="G14" s="50"/>
      <c r="H14" s="50"/>
      <c r="I14" s="50"/>
      <c r="J14" s="36"/>
      <c r="L14" s="10"/>
      <c r="M14" s="10"/>
      <c r="N14" s="10"/>
      <c r="O14" s="10"/>
      <c r="P14" s="10"/>
      <c r="Q14" s="10"/>
      <c r="R14" s="10"/>
      <c r="S14" s="5"/>
    </row>
    <row r="15" spans="1:19" ht="17" x14ac:dyDescent="0.2">
      <c r="A15" s="38"/>
      <c r="B15" s="40"/>
      <c r="C15" s="37"/>
      <c r="D15" s="37"/>
      <c r="E15" s="37"/>
      <c r="F15" s="37"/>
      <c r="G15" s="37"/>
      <c r="H15" s="37"/>
      <c r="I15" s="37"/>
      <c r="J15" s="36"/>
      <c r="L15" s="16"/>
      <c r="M15" s="112" t="s">
        <v>211</v>
      </c>
      <c r="N15" s="111" t="s">
        <v>210</v>
      </c>
      <c r="O15" s="111" t="s">
        <v>209</v>
      </c>
      <c r="P15" s="111" t="s">
        <v>208</v>
      </c>
      <c r="Q15" s="111" t="s">
        <v>207</v>
      </c>
      <c r="R15" s="111" t="s">
        <v>110</v>
      </c>
      <c r="S15" s="5"/>
    </row>
    <row r="16" spans="1:19" x14ac:dyDescent="0.2">
      <c r="A16" s="38"/>
      <c r="B16" s="40"/>
      <c r="C16" s="63"/>
      <c r="D16" s="196" t="s">
        <v>223</v>
      </c>
      <c r="E16" s="206"/>
      <c r="F16" s="206"/>
      <c r="G16" s="206"/>
      <c r="H16" s="206"/>
      <c r="I16" s="197"/>
      <c r="J16" s="36"/>
      <c r="L16" s="110" t="s">
        <v>109</v>
      </c>
      <c r="M16" s="108">
        <f>AVERAGE(M9:M13)</f>
        <v>0.95</v>
      </c>
      <c r="N16" s="108">
        <f>AVERAGE(N9:N13)</f>
        <v>0.99799318709291007</v>
      </c>
      <c r="O16" s="108">
        <f>AVERAGE(O9:O13)</f>
        <v>0.99889823695599633</v>
      </c>
      <c r="P16" s="108">
        <f>AVERAGE(P9:P13)</f>
        <v>1</v>
      </c>
      <c r="Q16" s="108">
        <f>AVERAGE(Q9:Q13)</f>
        <v>1</v>
      </c>
      <c r="R16" s="109">
        <v>1</v>
      </c>
      <c r="S16" s="5"/>
    </row>
    <row r="17" spans="1:22" x14ac:dyDescent="0.2">
      <c r="A17" s="38"/>
      <c r="B17" s="40"/>
      <c r="C17" s="59" t="s">
        <v>21</v>
      </c>
      <c r="D17" s="200" t="s">
        <v>222</v>
      </c>
      <c r="E17" s="207"/>
      <c r="F17" s="207"/>
      <c r="G17" s="207"/>
      <c r="H17" s="207"/>
      <c r="I17" s="201"/>
      <c r="J17" s="36"/>
      <c r="L17" s="110" t="s">
        <v>104</v>
      </c>
      <c r="M17" s="109">
        <f>M16*N17</f>
        <v>0.94704895332714345</v>
      </c>
      <c r="N17" s="109">
        <f>N16*O17</f>
        <v>0.99689363508120366</v>
      </c>
      <c r="O17" s="109">
        <f>O16*P17</f>
        <v>0.99889823695599633</v>
      </c>
      <c r="P17" s="109">
        <f>P16*Q17</f>
        <v>1</v>
      </c>
      <c r="Q17" s="109">
        <f>Q16*R17</f>
        <v>1</v>
      </c>
      <c r="R17" s="109">
        <f>R16</f>
        <v>1</v>
      </c>
      <c r="S17" s="5"/>
    </row>
    <row r="18" spans="1:22" x14ac:dyDescent="0.2">
      <c r="A18" s="38"/>
      <c r="B18" s="40"/>
      <c r="C18" s="42" t="s">
        <v>221</v>
      </c>
      <c r="D18" s="54">
        <v>6</v>
      </c>
      <c r="E18" s="42">
        <v>12</v>
      </c>
      <c r="F18" s="42">
        <v>18</v>
      </c>
      <c r="G18" s="42">
        <v>24</v>
      </c>
      <c r="H18" s="42">
        <v>30</v>
      </c>
      <c r="I18" s="42">
        <v>36</v>
      </c>
      <c r="J18" s="36"/>
      <c r="L18" s="5"/>
      <c r="M18" s="5"/>
      <c r="N18" s="5"/>
      <c r="O18" s="5"/>
      <c r="P18" s="5"/>
      <c r="Q18" s="5"/>
      <c r="R18" s="5"/>
      <c r="S18" s="5"/>
      <c r="T18" s="5"/>
      <c r="U18" s="5"/>
      <c r="V18" s="5"/>
    </row>
    <row r="19" spans="1:22" x14ac:dyDescent="0.2">
      <c r="A19" s="38"/>
      <c r="B19" s="40"/>
      <c r="C19" s="42" t="s">
        <v>220</v>
      </c>
      <c r="D19" s="50">
        <v>4600</v>
      </c>
      <c r="E19" s="50">
        <v>4637</v>
      </c>
      <c r="F19" s="50">
        <v>4614</v>
      </c>
      <c r="G19" s="50">
        <v>4609</v>
      </c>
      <c r="H19" s="50">
        <v>4609</v>
      </c>
      <c r="I19" s="50">
        <v>4609</v>
      </c>
      <c r="J19" s="36"/>
      <c r="L19" s="186" t="s">
        <v>118</v>
      </c>
      <c r="M19" s="186"/>
      <c r="N19" s="186"/>
      <c r="O19" s="186"/>
      <c r="P19" s="186"/>
      <c r="Q19" s="186"/>
      <c r="R19" s="5"/>
      <c r="S19" s="5"/>
      <c r="T19" s="5"/>
      <c r="U19" s="5"/>
      <c r="V19" s="5"/>
    </row>
    <row r="20" spans="1:22" x14ac:dyDescent="0.2">
      <c r="A20" s="38"/>
      <c r="B20" s="40"/>
      <c r="C20" s="51" t="s">
        <v>219</v>
      </c>
      <c r="D20" s="50">
        <v>4900</v>
      </c>
      <c r="E20" s="50">
        <v>5023</v>
      </c>
      <c r="F20" s="50">
        <v>4998</v>
      </c>
      <c r="G20" s="50">
        <v>4993</v>
      </c>
      <c r="H20" s="50">
        <v>4993</v>
      </c>
      <c r="I20" s="50"/>
      <c r="J20" s="36"/>
      <c r="L20" s="24" t="s">
        <v>21</v>
      </c>
      <c r="M20" s="5"/>
      <c r="N20" s="5"/>
      <c r="O20" s="5"/>
      <c r="P20" s="5"/>
      <c r="Q20" s="5"/>
      <c r="R20" s="5"/>
      <c r="S20" s="5"/>
      <c r="T20" s="5"/>
      <c r="U20" s="5"/>
      <c r="V20" s="5"/>
    </row>
    <row r="21" spans="1:22" ht="17" x14ac:dyDescent="0.2">
      <c r="A21" s="38"/>
      <c r="B21" s="40"/>
      <c r="C21" s="51" t="s">
        <v>218</v>
      </c>
      <c r="D21" s="50">
        <v>4400</v>
      </c>
      <c r="E21" s="50">
        <v>4435</v>
      </c>
      <c r="F21" s="50">
        <v>4413</v>
      </c>
      <c r="G21" s="50">
        <v>4409</v>
      </c>
      <c r="H21" s="50"/>
      <c r="I21" s="50"/>
      <c r="J21" s="36"/>
      <c r="L21" s="16" t="s">
        <v>17</v>
      </c>
      <c r="M21" s="112" t="s">
        <v>211</v>
      </c>
      <c r="N21" s="111" t="s">
        <v>210</v>
      </c>
      <c r="O21" s="111" t="s">
        <v>209</v>
      </c>
      <c r="P21" s="111" t="s">
        <v>208</v>
      </c>
      <c r="Q21" s="111" t="s">
        <v>207</v>
      </c>
      <c r="R21" s="5"/>
      <c r="S21" s="5"/>
      <c r="T21" s="5"/>
      <c r="U21" s="5"/>
      <c r="V21" s="5"/>
    </row>
    <row r="22" spans="1:22" ht="17" x14ac:dyDescent="0.2">
      <c r="A22" s="38"/>
      <c r="B22" s="40"/>
      <c r="C22" s="51" t="s">
        <v>217</v>
      </c>
      <c r="D22" s="50">
        <v>4800</v>
      </c>
      <c r="E22" s="50">
        <v>4920</v>
      </c>
      <c r="F22" s="50">
        <v>4895</v>
      </c>
      <c r="G22" s="50"/>
      <c r="H22" s="50"/>
      <c r="I22" s="50"/>
      <c r="J22" s="36"/>
      <c r="L22" s="11" t="str">
        <f>L9</f>
        <v xml:space="preserve">2014-1 </v>
      </c>
      <c r="M22" s="108">
        <f>E19/D19</f>
        <v>1.0080434782608696</v>
      </c>
      <c r="N22" s="108">
        <f>F19/E19</f>
        <v>0.99503989648479618</v>
      </c>
      <c r="O22" s="108">
        <f>G19/F19</f>
        <v>0.99891634156913744</v>
      </c>
      <c r="P22" s="108">
        <f>H19/G19</f>
        <v>1</v>
      </c>
      <c r="Q22" s="108">
        <f>I19/H19</f>
        <v>1</v>
      </c>
      <c r="R22" s="5"/>
      <c r="S22" s="5"/>
      <c r="T22" s="5"/>
      <c r="U22" s="5"/>
      <c r="V22" s="5"/>
    </row>
    <row r="23" spans="1:22" ht="17" x14ac:dyDescent="0.2">
      <c r="A23" s="38"/>
      <c r="B23" s="37"/>
      <c r="C23" s="51" t="s">
        <v>216</v>
      </c>
      <c r="D23" s="50">
        <v>4600</v>
      </c>
      <c r="E23" s="50">
        <v>4637</v>
      </c>
      <c r="F23" s="50"/>
      <c r="G23" s="50"/>
      <c r="H23" s="50"/>
      <c r="I23" s="50"/>
      <c r="J23" s="36"/>
      <c r="L23" s="11" t="str">
        <f>L10</f>
        <v>2014-2</v>
      </c>
      <c r="M23" s="154">
        <f>E20/D20</f>
        <v>1.0251020408163265</v>
      </c>
      <c r="N23" s="108">
        <f>F20/E20</f>
        <v>0.99502289468445149</v>
      </c>
      <c r="O23" s="108">
        <f>G20/F20</f>
        <v>0.99899959983993603</v>
      </c>
      <c r="P23" s="108">
        <f>H20/G20</f>
        <v>1</v>
      </c>
      <c r="Q23" s="108"/>
      <c r="R23" s="5"/>
      <c r="S23" s="5"/>
      <c r="T23" s="5"/>
      <c r="U23" s="5"/>
      <c r="V23" s="5"/>
    </row>
    <row r="24" spans="1:22" ht="17" x14ac:dyDescent="0.2">
      <c r="A24" s="38"/>
      <c r="B24" s="37"/>
      <c r="C24" s="51" t="s">
        <v>215</v>
      </c>
      <c r="D24" s="50">
        <v>4500</v>
      </c>
      <c r="E24" s="50"/>
      <c r="F24" s="50"/>
      <c r="G24" s="50"/>
      <c r="H24" s="50"/>
      <c r="I24" s="50"/>
      <c r="J24" s="36"/>
      <c r="L24" s="11" t="str">
        <f>L11</f>
        <v>2015-1</v>
      </c>
      <c r="M24" s="108">
        <f>E21/D21</f>
        <v>1.0079545454545455</v>
      </c>
      <c r="N24" s="108">
        <f>F21/E21</f>
        <v>0.9950394588500564</v>
      </c>
      <c r="O24" s="108">
        <f>G21/F21</f>
        <v>0.99909358712893725</v>
      </c>
      <c r="P24" s="108"/>
      <c r="Q24" s="108"/>
      <c r="R24" s="5"/>
      <c r="S24" s="5"/>
      <c r="T24" s="5"/>
      <c r="U24" s="5"/>
      <c r="V24" s="5"/>
    </row>
    <row r="25" spans="1:22" ht="17" x14ac:dyDescent="0.2">
      <c r="A25" s="38"/>
      <c r="B25" s="37"/>
      <c r="C25" s="40"/>
      <c r="D25" s="40"/>
      <c r="E25" s="40"/>
      <c r="F25" s="40"/>
      <c r="G25" s="40"/>
      <c r="H25" s="40"/>
      <c r="I25" s="40"/>
      <c r="J25" s="36"/>
      <c r="L25" s="11" t="str">
        <f>L12</f>
        <v xml:space="preserve">2015-2 </v>
      </c>
      <c r="M25" s="154">
        <f>E22/D22</f>
        <v>1.0249999999999999</v>
      </c>
      <c r="N25" s="108">
        <f>F22/E22</f>
        <v>0.99491869918699183</v>
      </c>
      <c r="O25" s="108"/>
      <c r="P25" s="108"/>
      <c r="Q25" s="108"/>
      <c r="R25" s="5"/>
      <c r="S25" s="5"/>
      <c r="T25" s="5"/>
      <c r="U25" s="5"/>
      <c r="V25" s="5"/>
    </row>
    <row r="26" spans="1:22" ht="17" x14ac:dyDescent="0.2">
      <c r="A26" s="38"/>
      <c r="B26" s="37"/>
      <c r="C26" s="39" t="s">
        <v>214</v>
      </c>
      <c r="D26" s="40"/>
      <c r="E26" s="40"/>
      <c r="F26" s="40"/>
      <c r="G26" s="40"/>
      <c r="H26" s="40"/>
      <c r="I26" s="40"/>
      <c r="J26" s="36"/>
      <c r="L26" s="11" t="str">
        <f>L13</f>
        <v xml:space="preserve">2016-1 </v>
      </c>
      <c r="M26" s="108">
        <f>E23/D23</f>
        <v>1.0080434782608696</v>
      </c>
      <c r="N26" s="108"/>
      <c r="O26" s="108"/>
      <c r="P26" s="108"/>
      <c r="Q26" s="108"/>
      <c r="R26" s="5"/>
      <c r="S26" s="5"/>
      <c r="T26" s="5"/>
      <c r="U26" s="5"/>
      <c r="V26" s="5"/>
    </row>
    <row r="27" spans="1:22" x14ac:dyDescent="0.2">
      <c r="A27" s="38"/>
      <c r="B27" s="37"/>
      <c r="C27" s="40"/>
      <c r="D27" s="40"/>
      <c r="E27" s="40"/>
      <c r="F27" s="40"/>
      <c r="G27" s="40"/>
      <c r="H27" s="40"/>
      <c r="I27" s="40"/>
      <c r="J27" s="36"/>
      <c r="L27" s="5"/>
      <c r="M27" s="5"/>
      <c r="N27" s="5"/>
      <c r="O27" s="5"/>
      <c r="P27" s="5"/>
      <c r="Q27" s="5"/>
      <c r="R27" s="5"/>
      <c r="S27" s="5"/>
      <c r="T27" s="5"/>
      <c r="U27" s="5"/>
      <c r="V27" s="5"/>
    </row>
    <row r="28" spans="1:22" ht="17" x14ac:dyDescent="0.2">
      <c r="A28" s="38" t="s">
        <v>40</v>
      </c>
      <c r="B28" s="37" t="s">
        <v>213</v>
      </c>
      <c r="C28" s="39" t="s">
        <v>212</v>
      </c>
      <c r="D28" s="40"/>
      <c r="E28" s="40"/>
      <c r="F28" s="40"/>
      <c r="G28" s="40"/>
      <c r="H28" s="40"/>
      <c r="I28" s="40"/>
      <c r="J28" s="36"/>
      <c r="L28" s="16"/>
      <c r="M28" s="112" t="s">
        <v>211</v>
      </c>
      <c r="N28" s="111" t="s">
        <v>210</v>
      </c>
      <c r="O28" s="111" t="s">
        <v>209</v>
      </c>
      <c r="P28" s="111" t="s">
        <v>208</v>
      </c>
      <c r="Q28" s="111" t="s">
        <v>207</v>
      </c>
      <c r="R28" s="111" t="s">
        <v>110</v>
      </c>
      <c r="S28" s="5"/>
      <c r="T28" s="5"/>
      <c r="U28" s="5"/>
      <c r="V28" s="5"/>
    </row>
    <row r="29" spans="1:22" x14ac:dyDescent="0.2">
      <c r="A29" s="38"/>
      <c r="B29" s="37"/>
      <c r="C29" s="40"/>
      <c r="D29" s="40"/>
      <c r="E29" s="40"/>
      <c r="F29" s="40"/>
      <c r="G29" s="40"/>
      <c r="H29" s="40"/>
      <c r="I29" s="40"/>
      <c r="J29" s="36"/>
      <c r="L29" s="110" t="s">
        <v>206</v>
      </c>
      <c r="M29" s="154">
        <f>AVERAGE(M22,M24,M26)</f>
        <v>1.008013833992095</v>
      </c>
      <c r="N29" s="108">
        <f>AVERAGE(N22:N26)</f>
        <v>0.99500523730157409</v>
      </c>
      <c r="O29" s="108">
        <f>AVERAGE(O22:O26)</f>
        <v>0.99900317617933698</v>
      </c>
      <c r="P29" s="108">
        <f>AVERAGE(P22:P26)</f>
        <v>1</v>
      </c>
      <c r="Q29" s="108">
        <f>AVERAGE(Q22:Q26)</f>
        <v>1</v>
      </c>
      <c r="R29" s="108">
        <v>1</v>
      </c>
      <c r="S29" s="5"/>
      <c r="T29" s="5"/>
      <c r="U29" s="5"/>
      <c r="V29" s="5"/>
    </row>
    <row r="30" spans="1:22" x14ac:dyDescent="0.2">
      <c r="A30" s="38" t="s">
        <v>36</v>
      </c>
      <c r="B30" s="37" t="s">
        <v>35</v>
      </c>
      <c r="C30" s="39" t="s">
        <v>205</v>
      </c>
      <c r="D30" s="40"/>
      <c r="E30" s="40"/>
      <c r="F30" s="40"/>
      <c r="G30" s="40"/>
      <c r="H30" s="40"/>
      <c r="I30" s="40"/>
      <c r="J30" s="36"/>
      <c r="L30" s="156" t="s">
        <v>204</v>
      </c>
      <c r="M30" s="155">
        <f>M29*N30</f>
        <v>1.0019792506917946</v>
      </c>
      <c r="N30" s="155">
        <f>N29*O30</f>
        <v>0.99401339237934738</v>
      </c>
      <c r="O30" s="155">
        <f>O29*P30</f>
        <v>0.99900317617933698</v>
      </c>
      <c r="P30" s="155">
        <f>P29*Q30</f>
        <v>1</v>
      </c>
      <c r="Q30" s="155">
        <f>Q29*R30</f>
        <v>1</v>
      </c>
      <c r="R30" s="155">
        <f>R29</f>
        <v>1</v>
      </c>
      <c r="S30" s="5"/>
      <c r="T30" s="5"/>
      <c r="U30" s="5"/>
      <c r="V30" s="5"/>
    </row>
    <row r="31" spans="1:22" x14ac:dyDescent="0.2">
      <c r="A31" s="38"/>
      <c r="B31" s="37"/>
      <c r="C31" s="40"/>
      <c r="D31" s="40"/>
      <c r="E31" s="40"/>
      <c r="F31" s="40"/>
      <c r="G31" s="40"/>
      <c r="H31" s="40"/>
      <c r="I31" s="40"/>
      <c r="J31" s="36"/>
      <c r="L31" s="110" t="s">
        <v>203</v>
      </c>
      <c r="M31" s="154">
        <f>AVERAGE(M25,M23)</f>
        <v>1.0250510204081631</v>
      </c>
      <c r="N31" s="108">
        <f>N29</f>
        <v>0.99500523730157409</v>
      </c>
      <c r="O31" s="108">
        <f>O29</f>
        <v>0.99900317617933698</v>
      </c>
      <c r="P31" s="108">
        <f>P29</f>
        <v>1</v>
      </c>
      <c r="Q31" s="108">
        <f>Q29</f>
        <v>1</v>
      </c>
      <c r="R31" s="108">
        <v>1</v>
      </c>
      <c r="S31" s="5"/>
      <c r="T31" s="5"/>
      <c r="U31" s="5"/>
      <c r="V31" s="5"/>
    </row>
    <row r="32" spans="1:22" x14ac:dyDescent="0.2">
      <c r="A32" s="38" t="s">
        <v>173</v>
      </c>
      <c r="B32" s="37" t="s">
        <v>35</v>
      </c>
      <c r="C32" s="39" t="s">
        <v>202</v>
      </c>
      <c r="D32" s="40"/>
      <c r="E32" s="40"/>
      <c r="F32" s="40"/>
      <c r="G32" s="40"/>
      <c r="H32" s="40"/>
      <c r="I32" s="40"/>
      <c r="J32" s="36"/>
      <c r="L32" s="110" t="s">
        <v>201</v>
      </c>
      <c r="M32" s="109">
        <f>M31*N32</f>
        <v>1.0189144421578298</v>
      </c>
      <c r="N32" s="109">
        <f>N31*O32</f>
        <v>0.99401339237934738</v>
      </c>
      <c r="O32" s="109">
        <f>O31*P32</f>
        <v>0.99900317617933698</v>
      </c>
      <c r="P32" s="109">
        <f>P31*Q32</f>
        <v>1</v>
      </c>
      <c r="Q32" s="109">
        <f>Q31*R32</f>
        <v>1</v>
      </c>
      <c r="R32" s="109">
        <f>R31</f>
        <v>1</v>
      </c>
      <c r="S32" s="5"/>
      <c r="T32" s="5"/>
      <c r="U32" s="5"/>
      <c r="V32" s="5"/>
    </row>
    <row r="33" spans="1:22" ht="17" thickBot="1" x14ac:dyDescent="0.25">
      <c r="A33" s="38"/>
      <c r="B33" s="37"/>
      <c r="C33" s="40"/>
      <c r="D33" s="40"/>
      <c r="E33" s="40"/>
      <c r="F33" s="40"/>
      <c r="G33" s="40"/>
      <c r="H33" s="40"/>
      <c r="I33" s="40"/>
      <c r="J33" s="36"/>
      <c r="L33" s="5"/>
      <c r="M33" s="5"/>
      <c r="N33" s="5"/>
      <c r="O33" s="5"/>
      <c r="P33" s="5"/>
      <c r="Q33" s="5"/>
      <c r="R33" s="5"/>
      <c r="S33" s="5"/>
      <c r="T33" s="5"/>
      <c r="U33" s="5"/>
      <c r="V33" s="5"/>
    </row>
    <row r="34" spans="1:22" ht="17" thickBot="1" x14ac:dyDescent="0.25">
      <c r="A34" s="35" t="s">
        <v>32</v>
      </c>
      <c r="B34" s="33"/>
      <c r="C34" s="34"/>
      <c r="D34" s="33"/>
      <c r="E34" s="33"/>
      <c r="F34" s="33"/>
      <c r="G34" s="33"/>
      <c r="H34" s="33"/>
      <c r="I34" s="33"/>
      <c r="J34" s="32"/>
      <c r="L34" s="114" t="s">
        <v>178</v>
      </c>
      <c r="M34" s="5"/>
      <c r="N34" s="5"/>
      <c r="O34" s="5"/>
      <c r="P34" s="5"/>
      <c r="Q34" s="5"/>
      <c r="R34" s="5"/>
      <c r="S34" s="5"/>
      <c r="T34" s="5"/>
      <c r="U34" s="5"/>
      <c r="V34" s="5"/>
    </row>
    <row r="35" spans="1:22" x14ac:dyDescent="0.2">
      <c r="L35" s="193" t="s">
        <v>200</v>
      </c>
      <c r="M35" s="193"/>
      <c r="N35" s="193"/>
      <c r="O35" s="193"/>
      <c r="P35" s="193"/>
      <c r="Q35" s="193"/>
      <c r="R35" s="193"/>
      <c r="S35" s="5"/>
      <c r="T35" s="5"/>
      <c r="U35" s="5"/>
      <c r="V35" s="5"/>
    </row>
    <row r="36" spans="1:22" x14ac:dyDescent="0.2">
      <c r="L36" s="193"/>
      <c r="M36" s="193"/>
      <c r="N36" s="193"/>
      <c r="O36" s="193"/>
      <c r="P36" s="193"/>
      <c r="Q36" s="193"/>
      <c r="R36" s="193"/>
      <c r="S36" s="5"/>
      <c r="T36" s="5"/>
      <c r="U36" s="5"/>
      <c r="V36" s="5"/>
    </row>
    <row r="37" spans="1:22" x14ac:dyDescent="0.2">
      <c r="L37" s="153"/>
      <c r="M37" s="5"/>
      <c r="N37" s="5"/>
      <c r="O37" s="5"/>
      <c r="P37" s="5"/>
      <c r="Q37" s="5"/>
      <c r="R37" s="5"/>
      <c r="S37" s="5"/>
      <c r="T37" s="5"/>
      <c r="U37" s="5"/>
      <c r="V37" s="5"/>
    </row>
    <row r="38" spans="1:22" x14ac:dyDescent="0.2">
      <c r="L38" s="153"/>
      <c r="M38" s="5"/>
      <c r="N38" s="5"/>
      <c r="O38" s="5"/>
      <c r="P38" s="5"/>
      <c r="Q38" s="5"/>
      <c r="R38" s="5"/>
      <c r="S38" s="5"/>
      <c r="T38" s="5"/>
      <c r="U38" s="5"/>
      <c r="V38" s="5"/>
    </row>
    <row r="39" spans="1:22" x14ac:dyDescent="0.2">
      <c r="L39" s="153"/>
      <c r="M39" s="5"/>
      <c r="N39" s="5"/>
      <c r="O39" s="5"/>
      <c r="P39" s="5"/>
      <c r="Q39" s="5"/>
      <c r="R39" s="5"/>
      <c r="S39" s="5"/>
      <c r="T39" s="5"/>
      <c r="U39" s="5"/>
      <c r="V39" s="5"/>
    </row>
    <row r="40" spans="1:22" x14ac:dyDescent="0.2">
      <c r="L40" s="5"/>
      <c r="M40" s="5"/>
      <c r="N40" s="5"/>
      <c r="O40" s="5"/>
      <c r="P40" s="5"/>
      <c r="Q40" s="5"/>
      <c r="R40" s="5"/>
      <c r="S40" s="5"/>
      <c r="T40" s="5"/>
      <c r="U40" s="5"/>
      <c r="V40" s="5"/>
    </row>
    <row r="41" spans="1:22" ht="17" thickBot="1" x14ac:dyDescent="0.25">
      <c r="L41" s="5"/>
      <c r="M41" s="5"/>
      <c r="N41" s="5"/>
      <c r="O41" s="24" t="s">
        <v>18</v>
      </c>
      <c r="P41" s="26" t="s">
        <v>107</v>
      </c>
      <c r="Q41" s="5"/>
      <c r="R41" s="5"/>
      <c r="S41" s="5"/>
      <c r="T41" s="5"/>
      <c r="U41" s="5"/>
      <c r="V41" s="5"/>
    </row>
    <row r="42" spans="1:22" x14ac:dyDescent="0.2">
      <c r="L42" s="24" t="s">
        <v>21</v>
      </c>
      <c r="M42" s="23" t="s">
        <v>54</v>
      </c>
      <c r="N42" s="152"/>
      <c r="O42" s="24" t="s">
        <v>54</v>
      </c>
      <c r="P42" s="23" t="s">
        <v>14</v>
      </c>
      <c r="Q42" s="5"/>
      <c r="R42" s="26" t="s">
        <v>18</v>
      </c>
      <c r="S42" s="22" t="s">
        <v>18</v>
      </c>
      <c r="T42" s="5"/>
      <c r="U42" s="5"/>
      <c r="V42" s="5"/>
    </row>
    <row r="43" spans="1:22" ht="17" x14ac:dyDescent="0.2">
      <c r="L43" s="16" t="s">
        <v>17</v>
      </c>
      <c r="M43" s="21" t="s">
        <v>53</v>
      </c>
      <c r="N43" s="21" t="s">
        <v>104</v>
      </c>
      <c r="O43" s="16" t="s">
        <v>53</v>
      </c>
      <c r="P43" s="21" t="s">
        <v>199</v>
      </c>
      <c r="Q43" s="21" t="s">
        <v>104</v>
      </c>
      <c r="R43" s="21" t="s">
        <v>14</v>
      </c>
      <c r="S43" s="20" t="s">
        <v>72</v>
      </c>
      <c r="T43" s="5"/>
      <c r="U43" s="5"/>
      <c r="V43" s="5"/>
    </row>
    <row r="44" spans="1:22" ht="17" x14ac:dyDescent="0.2">
      <c r="L44" s="11" t="str">
        <f>C13</f>
        <v xml:space="preserve">2016-1 </v>
      </c>
      <c r="M44" s="9">
        <f>E13</f>
        <v>3705</v>
      </c>
      <c r="N44" s="28">
        <f>N17</f>
        <v>0.99689363508120366</v>
      </c>
      <c r="O44" s="45">
        <f>M44*N44</f>
        <v>3693.4909179758597</v>
      </c>
      <c r="P44" s="9">
        <f>E23</f>
        <v>4637</v>
      </c>
      <c r="Q44" s="108">
        <f>N30</f>
        <v>0.99401339237934738</v>
      </c>
      <c r="R44" s="9">
        <f>P44*Q44</f>
        <v>4609.2401004630337</v>
      </c>
      <c r="S44" s="17">
        <f>R44*O44</f>
        <v>17024186.449830353</v>
      </c>
      <c r="T44" s="5"/>
      <c r="U44" s="5"/>
      <c r="V44" s="5"/>
    </row>
    <row r="45" spans="1:22" ht="17" x14ac:dyDescent="0.2">
      <c r="L45" s="16" t="str">
        <f>C14</f>
        <v>2016-2</v>
      </c>
      <c r="M45" s="15">
        <f>D14</f>
        <v>4100</v>
      </c>
      <c r="N45" s="151">
        <f>M17</f>
        <v>0.94704895332714345</v>
      </c>
      <c r="O45" s="150">
        <f>M45*N45</f>
        <v>3882.900708641288</v>
      </c>
      <c r="P45" s="15">
        <f>D24</f>
        <v>4500</v>
      </c>
      <c r="Q45" s="149">
        <f>M32</f>
        <v>1.0189144421578298</v>
      </c>
      <c r="R45" s="15">
        <f>P45*Q45</f>
        <v>4585.1149897102341</v>
      </c>
      <c r="S45" s="12">
        <f>R45*O45</f>
        <v>17803546.242747661</v>
      </c>
      <c r="T45" s="5"/>
      <c r="U45" s="5"/>
      <c r="V45" s="5"/>
    </row>
    <row r="46" spans="1:22" ht="17" thickBot="1" x14ac:dyDescent="0.25">
      <c r="L46" s="148" t="s">
        <v>12</v>
      </c>
      <c r="M46" s="9"/>
      <c r="N46" s="9"/>
      <c r="O46" s="45">
        <f>SUM(O44:O45)</f>
        <v>7576.3916266171473</v>
      </c>
      <c r="P46" s="9"/>
      <c r="Q46" s="9"/>
      <c r="R46" s="9"/>
      <c r="S46" s="147">
        <f>SUM(S44:S45)</f>
        <v>34827732.692578018</v>
      </c>
      <c r="T46" s="5"/>
      <c r="U46" s="5"/>
      <c r="V46" s="5"/>
    </row>
    <row r="47" spans="1:22" x14ac:dyDescent="0.2">
      <c r="L47" s="5"/>
      <c r="M47" s="5"/>
      <c r="N47" s="5"/>
      <c r="O47" s="5"/>
      <c r="P47" s="5"/>
      <c r="Q47" s="5"/>
      <c r="R47" s="5"/>
      <c r="S47" s="5"/>
      <c r="T47" s="5"/>
      <c r="U47" s="5"/>
      <c r="V47" s="5"/>
    </row>
    <row r="48" spans="1:22" x14ac:dyDescent="0.2">
      <c r="L48" s="7" t="s">
        <v>11</v>
      </c>
      <c r="M48" s="5"/>
      <c r="N48" s="5"/>
      <c r="O48" s="5"/>
      <c r="P48" s="5"/>
      <c r="Q48" s="5"/>
      <c r="R48" s="5"/>
      <c r="S48" s="5"/>
      <c r="T48" s="5"/>
      <c r="U48" s="5"/>
      <c r="V48" s="5"/>
    </row>
    <row r="49" spans="12:22" x14ac:dyDescent="0.2">
      <c r="L49" s="193" t="s">
        <v>198</v>
      </c>
      <c r="M49" s="193"/>
      <c r="N49" s="193"/>
      <c r="O49" s="193"/>
      <c r="P49" s="193"/>
      <c r="Q49" s="193"/>
      <c r="R49" s="193"/>
      <c r="S49" s="193"/>
      <c r="T49" s="5"/>
      <c r="U49" s="5"/>
      <c r="V49" s="5"/>
    </row>
    <row r="50" spans="12:22" x14ac:dyDescent="0.2">
      <c r="L50" s="193"/>
      <c r="M50" s="193"/>
      <c r="N50" s="193"/>
      <c r="O50" s="193"/>
      <c r="P50" s="193"/>
      <c r="Q50" s="193"/>
      <c r="R50" s="193"/>
      <c r="S50" s="193"/>
      <c r="T50" s="5"/>
      <c r="U50" s="5"/>
      <c r="V50" s="5"/>
    </row>
    <row r="51" spans="12:22" x14ac:dyDescent="0.2">
      <c r="L51" s="193"/>
      <c r="M51" s="193"/>
      <c r="N51" s="193"/>
      <c r="O51" s="193"/>
      <c r="P51" s="193"/>
      <c r="Q51" s="193"/>
      <c r="R51" s="193"/>
      <c r="S51" s="193"/>
      <c r="T51" s="5"/>
      <c r="U51" s="5"/>
      <c r="V51" s="5"/>
    </row>
    <row r="52" spans="12:22" x14ac:dyDescent="0.2">
      <c r="L52" s="5"/>
      <c r="M52" s="5"/>
      <c r="N52" s="5"/>
      <c r="O52" s="5"/>
      <c r="P52" s="5"/>
      <c r="Q52" s="5"/>
      <c r="R52" s="5"/>
      <c r="S52" s="5"/>
      <c r="T52" s="5"/>
      <c r="U52" s="5"/>
      <c r="V52" s="5"/>
    </row>
    <row r="53" spans="12:22" x14ac:dyDescent="0.2">
      <c r="L53" s="5"/>
      <c r="M53" s="5"/>
      <c r="N53" s="5"/>
      <c r="O53" s="5"/>
      <c r="P53" s="5"/>
      <c r="Q53" s="5"/>
      <c r="R53" s="5"/>
      <c r="S53" s="5"/>
      <c r="T53" s="5"/>
      <c r="U53" s="5"/>
      <c r="V53" s="5"/>
    </row>
    <row r="54" spans="12:22" x14ac:dyDescent="0.2">
      <c r="L54" s="7" t="s">
        <v>166</v>
      </c>
      <c r="M54" s="5"/>
      <c r="N54" s="5"/>
      <c r="O54" s="5"/>
      <c r="P54" s="5"/>
      <c r="Q54" s="5"/>
      <c r="R54" s="5"/>
      <c r="S54" s="5"/>
      <c r="T54" s="5"/>
      <c r="U54" s="5"/>
      <c r="V54" s="5"/>
    </row>
    <row r="55" spans="12:22" ht="16" customHeight="1" x14ac:dyDescent="0.2">
      <c r="L55" s="193" t="s">
        <v>197</v>
      </c>
      <c r="M55" s="193"/>
      <c r="N55" s="193"/>
      <c r="O55" s="193"/>
      <c r="P55" s="193"/>
      <c r="Q55" s="193"/>
      <c r="R55" s="193"/>
      <c r="S55" s="193"/>
      <c r="T55" s="5"/>
    </row>
    <row r="56" spans="12:22" x14ac:dyDescent="0.2">
      <c r="L56" s="193"/>
      <c r="M56" s="193"/>
      <c r="N56" s="193"/>
      <c r="O56" s="193"/>
      <c r="P56" s="193"/>
      <c r="Q56" s="193"/>
      <c r="R56" s="193"/>
      <c r="S56" s="193"/>
      <c r="T56" s="5"/>
    </row>
    <row r="57" spans="12:22" x14ac:dyDescent="0.2">
      <c r="L57" s="193"/>
      <c r="M57" s="193"/>
      <c r="N57" s="193"/>
      <c r="O57" s="193"/>
      <c r="P57" s="193"/>
      <c r="Q57" s="193"/>
      <c r="R57" s="193"/>
      <c r="S57" s="193"/>
      <c r="T57" s="5"/>
    </row>
    <row r="58" spans="12:22" x14ac:dyDescent="0.2">
      <c r="T58" s="5"/>
    </row>
    <row r="59" spans="12:22" x14ac:dyDescent="0.2">
      <c r="T59" s="5"/>
    </row>
    <row r="60" spans="12:22" ht="19" x14ac:dyDescent="0.25">
      <c r="L60" s="72" t="s">
        <v>3</v>
      </c>
    </row>
    <row r="61" spans="12:22" x14ac:dyDescent="0.2">
      <c r="L61" s="187" t="s">
        <v>196</v>
      </c>
      <c r="M61" s="187"/>
      <c r="N61" s="187"/>
      <c r="O61" s="187"/>
      <c r="P61" s="187"/>
      <c r="Q61" s="187"/>
      <c r="R61" s="187"/>
      <c r="S61" s="187"/>
    </row>
    <row r="62" spans="12:22" x14ac:dyDescent="0.2">
      <c r="L62" s="187"/>
      <c r="M62" s="187"/>
      <c r="N62" s="187"/>
      <c r="O62" s="187"/>
      <c r="P62" s="187"/>
      <c r="Q62" s="187"/>
      <c r="R62" s="187"/>
      <c r="S62" s="187"/>
    </row>
    <row r="63" spans="12:22" x14ac:dyDescent="0.2">
      <c r="L63" s="187"/>
      <c r="M63" s="187"/>
      <c r="N63" s="187"/>
      <c r="O63" s="187"/>
      <c r="P63" s="187"/>
      <c r="Q63" s="187"/>
      <c r="R63" s="187"/>
      <c r="S63" s="187"/>
    </row>
    <row r="64" spans="12:22" x14ac:dyDescent="0.2">
      <c r="L64" s="187"/>
      <c r="M64" s="187"/>
      <c r="N64" s="187"/>
      <c r="O64" s="187"/>
      <c r="P64" s="187"/>
      <c r="Q64" s="187"/>
      <c r="R64" s="187"/>
      <c r="S64" s="187"/>
    </row>
    <row r="65" spans="12:19" x14ac:dyDescent="0.2">
      <c r="L65" s="187"/>
      <c r="M65" s="187"/>
      <c r="N65" s="187"/>
      <c r="O65" s="187"/>
      <c r="P65" s="187"/>
      <c r="Q65" s="187"/>
      <c r="R65" s="187"/>
      <c r="S65" s="187"/>
    </row>
    <row r="67" spans="12:19" ht="19" x14ac:dyDescent="0.25">
      <c r="L67" s="72" t="s">
        <v>1</v>
      </c>
    </row>
    <row r="68" spans="12:19" x14ac:dyDescent="0.2">
      <c r="L68" s="1" t="s">
        <v>95</v>
      </c>
    </row>
  </sheetData>
  <mergeCells count="10">
    <mergeCell ref="L61:S65"/>
    <mergeCell ref="L6:Q6"/>
    <mergeCell ref="L19:Q19"/>
    <mergeCell ref="L35:R36"/>
    <mergeCell ref="D6:I6"/>
    <mergeCell ref="D7:I7"/>
    <mergeCell ref="D16:I16"/>
    <mergeCell ref="D17:I17"/>
    <mergeCell ref="L49:S51"/>
    <mergeCell ref="L55:S5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81479-681B-304B-898F-CAFC5F056B91}">
  <dimension ref="A1:T51"/>
  <sheetViews>
    <sheetView workbookViewId="0">
      <selection activeCell="B1" sqref="B1"/>
    </sheetView>
  </sheetViews>
  <sheetFormatPr baseColWidth="10" defaultColWidth="11" defaultRowHeight="16" outlineLevelCol="1" x14ac:dyDescent="0.2"/>
  <cols>
    <col min="1" max="1" width="4" style="2" customWidth="1"/>
    <col min="2" max="2" width="11.5" style="1" customWidth="1"/>
    <col min="3" max="6" width="10.83203125" style="1" customWidth="1"/>
    <col min="7" max="7" width="11.33203125" style="1" customWidth="1"/>
    <col min="8" max="12" width="11" style="1"/>
    <col min="13" max="13" width="11.5" style="1" hidden="1" customWidth="1" outlineLevel="1"/>
    <col min="14" max="14" width="11.83203125" style="1" hidden="1" customWidth="1" outlineLevel="1"/>
    <col min="15" max="15" width="10.83203125" style="1" hidden="1" customWidth="1" outlineLevel="1"/>
    <col min="16" max="16" width="11.33203125" style="1" hidden="1" customWidth="1" outlineLevel="1"/>
    <col min="17" max="17" width="12" style="1" hidden="1" customWidth="1" outlineLevel="1"/>
    <col min="18" max="19" width="10.83203125" style="1" hidden="1" customWidth="1" outlineLevel="1"/>
    <col min="20" max="20" width="11" style="1" collapsed="1"/>
    <col min="21" max="16384" width="11" style="1"/>
  </cols>
  <sheetData>
    <row r="1" spans="1:19" x14ac:dyDescent="0.2">
      <c r="A1" s="71"/>
      <c r="B1" s="70" t="s">
        <v>70</v>
      </c>
      <c r="C1" s="69" t="s">
        <v>195</v>
      </c>
      <c r="D1" s="69" t="s">
        <v>68</v>
      </c>
      <c r="E1" s="69" t="s">
        <v>194</v>
      </c>
      <c r="F1" s="68"/>
      <c r="G1" s="68"/>
      <c r="H1" s="68"/>
      <c r="I1" s="68"/>
      <c r="J1" s="68"/>
      <c r="K1" s="67"/>
      <c r="L1" s="64" t="s">
        <v>66</v>
      </c>
    </row>
    <row r="2" spans="1:19" x14ac:dyDescent="0.2">
      <c r="A2" s="38"/>
      <c r="B2" s="66" t="s">
        <v>65</v>
      </c>
      <c r="C2" s="65">
        <v>3</v>
      </c>
      <c r="D2" s="37"/>
      <c r="E2" s="37"/>
      <c r="F2" s="37"/>
      <c r="G2" s="37"/>
      <c r="H2" s="37"/>
      <c r="I2" s="37"/>
      <c r="J2" s="37"/>
      <c r="K2" s="36"/>
    </row>
    <row r="3" spans="1:19" x14ac:dyDescent="0.2">
      <c r="A3" s="38"/>
      <c r="B3" s="37"/>
      <c r="C3" s="37"/>
      <c r="D3" s="37"/>
      <c r="E3" s="37"/>
      <c r="F3" s="37"/>
      <c r="G3" s="37"/>
      <c r="H3" s="37"/>
      <c r="I3" s="37"/>
      <c r="J3" s="37"/>
      <c r="K3" s="36"/>
      <c r="M3" s="64" t="s">
        <v>64</v>
      </c>
    </row>
    <row r="4" spans="1:19" x14ac:dyDescent="0.2">
      <c r="A4" s="38"/>
      <c r="B4" s="37"/>
      <c r="C4" s="37" t="s">
        <v>193</v>
      </c>
      <c r="D4" s="37"/>
      <c r="E4" s="37"/>
      <c r="F4" s="37"/>
      <c r="G4" s="37"/>
      <c r="H4" s="37"/>
      <c r="I4" s="37"/>
      <c r="J4" s="37"/>
      <c r="K4" s="36"/>
      <c r="M4" s="5" t="s">
        <v>192</v>
      </c>
      <c r="N4" s="5"/>
      <c r="O4" s="5"/>
      <c r="P4" s="5"/>
      <c r="Q4" s="5"/>
      <c r="R4" s="5"/>
      <c r="S4" s="5"/>
    </row>
    <row r="5" spans="1:19" x14ac:dyDescent="0.2">
      <c r="A5" s="38"/>
      <c r="B5" s="37"/>
      <c r="C5" s="37" t="s">
        <v>191</v>
      </c>
      <c r="D5" s="37"/>
      <c r="E5" s="37"/>
      <c r="F5" s="37"/>
      <c r="G5" s="37"/>
      <c r="H5" s="37"/>
      <c r="I5" s="37"/>
      <c r="J5" s="37"/>
      <c r="K5" s="36"/>
      <c r="M5" s="5"/>
      <c r="N5" s="5"/>
      <c r="O5" s="5"/>
      <c r="P5" s="5"/>
      <c r="Q5" s="5"/>
      <c r="R5" s="5"/>
      <c r="S5" s="5"/>
    </row>
    <row r="6" spans="1:19" x14ac:dyDescent="0.2">
      <c r="A6" s="38"/>
      <c r="B6" s="37"/>
      <c r="C6" s="37"/>
      <c r="D6" s="37"/>
      <c r="E6" s="37"/>
      <c r="F6" s="37"/>
      <c r="G6" s="37"/>
      <c r="H6" s="37"/>
      <c r="I6" s="37"/>
      <c r="J6" s="37"/>
      <c r="K6" s="36"/>
      <c r="M6" s="24" t="s">
        <v>21</v>
      </c>
      <c r="N6" s="31" t="s">
        <v>190</v>
      </c>
      <c r="O6" s="23" t="s">
        <v>31</v>
      </c>
      <c r="P6" s="24" t="s">
        <v>30</v>
      </c>
      <c r="Q6" s="23" t="s">
        <v>61</v>
      </c>
      <c r="R6" s="5"/>
      <c r="S6" s="5"/>
    </row>
    <row r="7" spans="1:19" ht="17" x14ac:dyDescent="0.2">
      <c r="A7" s="38"/>
      <c r="B7" s="37"/>
      <c r="C7" s="63"/>
      <c r="D7" s="62"/>
      <c r="E7" s="146"/>
      <c r="F7" s="62" t="s">
        <v>189</v>
      </c>
      <c r="G7" s="61"/>
      <c r="H7" s="37"/>
      <c r="I7" s="37"/>
      <c r="J7" s="37"/>
      <c r="K7" s="36"/>
      <c r="M7" s="16" t="s">
        <v>17</v>
      </c>
      <c r="N7" s="21" t="s">
        <v>53</v>
      </c>
      <c r="O7" s="21" t="s">
        <v>169</v>
      </c>
      <c r="P7" s="16" t="s">
        <v>26</v>
      </c>
      <c r="Q7" s="21" t="s">
        <v>58</v>
      </c>
      <c r="R7" s="5"/>
      <c r="S7" s="5"/>
    </row>
    <row r="8" spans="1:19" x14ac:dyDescent="0.2">
      <c r="A8" s="38"/>
      <c r="B8" s="37"/>
      <c r="C8" s="59"/>
      <c r="D8" s="58"/>
      <c r="E8" s="40" t="s">
        <v>107</v>
      </c>
      <c r="F8" s="58" t="s">
        <v>18</v>
      </c>
      <c r="G8" s="57" t="s">
        <v>77</v>
      </c>
      <c r="H8" s="37"/>
      <c r="I8" s="37"/>
      <c r="J8" s="37"/>
      <c r="K8" s="36"/>
      <c r="M8" s="11">
        <f>C11</f>
        <v>2013</v>
      </c>
      <c r="N8" s="9">
        <f>F11</f>
        <v>2300</v>
      </c>
      <c r="O8" s="29">
        <f>2016-M8</f>
        <v>3</v>
      </c>
      <c r="P8" s="56">
        <f>(1+$F$17)^O8</f>
        <v>1.0303009999999999</v>
      </c>
      <c r="Q8" s="9">
        <f>N8*P8</f>
        <v>2369.6922999999997</v>
      </c>
      <c r="R8" s="5"/>
      <c r="S8" s="5"/>
    </row>
    <row r="9" spans="1:19" x14ac:dyDescent="0.2">
      <c r="A9" s="38"/>
      <c r="B9" s="37"/>
      <c r="C9" s="59" t="s">
        <v>21</v>
      </c>
      <c r="D9" s="58" t="s">
        <v>186</v>
      </c>
      <c r="E9" s="40" t="s">
        <v>72</v>
      </c>
      <c r="F9" s="58" t="s">
        <v>188</v>
      </c>
      <c r="G9" s="57" t="s">
        <v>18</v>
      </c>
      <c r="H9" s="37"/>
      <c r="I9" s="37"/>
      <c r="J9" s="37"/>
      <c r="K9" s="36"/>
      <c r="M9" s="11">
        <f>C12</f>
        <v>2014</v>
      </c>
      <c r="N9" s="9">
        <f>F12</f>
        <v>2400</v>
      </c>
      <c r="O9" s="29">
        <f>2016-M9</f>
        <v>2</v>
      </c>
      <c r="P9" s="56">
        <f>(1+$F$17)^O9</f>
        <v>1.0201</v>
      </c>
      <c r="Q9" s="9">
        <f>N9*P9</f>
        <v>2448.2400000000002</v>
      </c>
      <c r="R9" s="5"/>
      <c r="S9" s="5"/>
    </row>
    <row r="10" spans="1:19" x14ac:dyDescent="0.2">
      <c r="A10" s="38"/>
      <c r="B10" s="37"/>
      <c r="C10" s="55" t="s">
        <v>17</v>
      </c>
      <c r="D10" s="145" t="s">
        <v>57</v>
      </c>
      <c r="E10" s="144" t="s">
        <v>57</v>
      </c>
      <c r="F10" s="42" t="s">
        <v>53</v>
      </c>
      <c r="G10" s="54" t="s">
        <v>14</v>
      </c>
      <c r="H10" s="37"/>
      <c r="I10" s="37"/>
      <c r="J10" s="37"/>
      <c r="K10" s="36"/>
      <c r="M10" s="11">
        <f>C13</f>
        <v>2015</v>
      </c>
      <c r="N10" s="9">
        <f>F13</f>
        <v>2500</v>
      </c>
      <c r="O10" s="29">
        <f>2016-M10</f>
        <v>1</v>
      </c>
      <c r="P10" s="56">
        <f>(1+$F$17)^O10</f>
        <v>1.01</v>
      </c>
      <c r="Q10" s="9">
        <f>N10*P10</f>
        <v>2525</v>
      </c>
      <c r="R10" s="5"/>
      <c r="S10" s="5"/>
    </row>
    <row r="11" spans="1:19" x14ac:dyDescent="0.2">
      <c r="A11" s="38"/>
      <c r="B11" s="37"/>
      <c r="C11" s="42">
        <v>2013</v>
      </c>
      <c r="D11" s="53">
        <v>306000</v>
      </c>
      <c r="E11" s="53">
        <v>15450</v>
      </c>
      <c r="F11" s="53">
        <v>2300</v>
      </c>
      <c r="G11" s="53">
        <v>7000</v>
      </c>
      <c r="H11" s="37"/>
      <c r="I11" s="37"/>
      <c r="J11" s="37"/>
      <c r="K11" s="36"/>
      <c r="M11" s="5"/>
      <c r="N11" s="5"/>
      <c r="O11" s="5"/>
      <c r="P11" s="5"/>
      <c r="Q11" s="5"/>
      <c r="R11" s="5"/>
      <c r="S11" s="5"/>
    </row>
    <row r="12" spans="1:19" x14ac:dyDescent="0.2">
      <c r="A12" s="38"/>
      <c r="B12" s="37"/>
      <c r="C12" s="51">
        <v>2014</v>
      </c>
      <c r="D12" s="50">
        <v>313000</v>
      </c>
      <c r="E12" s="50">
        <v>17000</v>
      </c>
      <c r="F12" s="50">
        <v>2400</v>
      </c>
      <c r="G12" s="50">
        <v>7500</v>
      </c>
      <c r="H12" s="37"/>
      <c r="I12" s="37"/>
      <c r="J12" s="37"/>
      <c r="K12" s="36"/>
      <c r="M12" s="24" t="s">
        <v>21</v>
      </c>
      <c r="N12" s="31"/>
      <c r="O12" s="23" t="s">
        <v>31</v>
      </c>
      <c r="P12" s="23" t="s">
        <v>30</v>
      </c>
      <c r="Q12" s="24" t="s">
        <v>187</v>
      </c>
      <c r="R12" s="23" t="s">
        <v>28</v>
      </c>
      <c r="S12" s="5"/>
    </row>
    <row r="13" spans="1:19" ht="17" x14ac:dyDescent="0.2">
      <c r="A13" s="38"/>
      <c r="B13" s="40"/>
      <c r="C13" s="51">
        <v>2015</v>
      </c>
      <c r="D13" s="50">
        <v>318000</v>
      </c>
      <c r="E13" s="50">
        <v>14625</v>
      </c>
      <c r="F13" s="50">
        <v>2500</v>
      </c>
      <c r="G13" s="51" t="s">
        <v>185</v>
      </c>
      <c r="H13" s="37"/>
      <c r="I13" s="37"/>
      <c r="J13" s="37"/>
      <c r="K13" s="36"/>
      <c r="M13" s="16" t="s">
        <v>17</v>
      </c>
      <c r="N13" s="21" t="s">
        <v>186</v>
      </c>
      <c r="O13" s="21" t="s">
        <v>169</v>
      </c>
      <c r="P13" s="21" t="s">
        <v>26</v>
      </c>
      <c r="Q13" s="16" t="s">
        <v>186</v>
      </c>
      <c r="R13" s="30" t="s">
        <v>15</v>
      </c>
      <c r="S13" s="5"/>
    </row>
    <row r="14" spans="1:19" x14ac:dyDescent="0.2">
      <c r="A14" s="38"/>
      <c r="B14" s="40"/>
      <c r="C14" s="51">
        <v>2016</v>
      </c>
      <c r="D14" s="50">
        <v>325000</v>
      </c>
      <c r="E14" s="50">
        <v>11000</v>
      </c>
      <c r="F14" s="51" t="s">
        <v>185</v>
      </c>
      <c r="G14" s="51" t="s">
        <v>185</v>
      </c>
      <c r="H14" s="37"/>
      <c r="I14" s="37"/>
      <c r="J14" s="37"/>
      <c r="K14" s="36"/>
      <c r="M14" s="11">
        <f>M8</f>
        <v>2013</v>
      </c>
      <c r="N14" s="9">
        <f>D11</f>
        <v>306000</v>
      </c>
      <c r="O14" s="29">
        <f>2016-M14</f>
        <v>3</v>
      </c>
      <c r="P14" s="28">
        <f>(1+$F$16)^O14</f>
        <v>1.0612079999999999</v>
      </c>
      <c r="Q14" s="47">
        <f>N14*P14</f>
        <v>324729.64799999999</v>
      </c>
      <c r="R14" s="44">
        <f>Q8/Q14</f>
        <v>7.2974313081508339E-3</v>
      </c>
      <c r="S14" s="5"/>
    </row>
    <row r="15" spans="1:19" x14ac:dyDescent="0.2">
      <c r="A15" s="38"/>
      <c r="B15" s="40"/>
      <c r="C15" s="37"/>
      <c r="D15" s="37"/>
      <c r="E15" s="37"/>
      <c r="F15" s="37"/>
      <c r="G15" s="37"/>
      <c r="H15" s="37"/>
      <c r="I15" s="37"/>
      <c r="J15" s="37"/>
      <c r="K15" s="36"/>
      <c r="M15" s="11">
        <f>M9</f>
        <v>2014</v>
      </c>
      <c r="N15" s="9">
        <f>D12</f>
        <v>313000</v>
      </c>
      <c r="O15" s="29">
        <f>2016-M15</f>
        <v>2</v>
      </c>
      <c r="P15" s="28">
        <f>(1+$F$16)^O15</f>
        <v>1.0404</v>
      </c>
      <c r="Q15" s="45">
        <f>N15*P15</f>
        <v>325645.2</v>
      </c>
      <c r="R15" s="44">
        <f>Q9/Q15</f>
        <v>7.5181209488117745E-3</v>
      </c>
      <c r="S15" s="5"/>
    </row>
    <row r="16" spans="1:19" x14ac:dyDescent="0.2">
      <c r="A16" s="38"/>
      <c r="B16" s="40"/>
      <c r="C16" s="37" t="s">
        <v>184</v>
      </c>
      <c r="D16" s="37"/>
      <c r="E16" s="37"/>
      <c r="F16" s="113">
        <v>0.02</v>
      </c>
      <c r="G16" s="37"/>
      <c r="H16" s="37"/>
      <c r="I16" s="37"/>
      <c r="J16" s="37"/>
      <c r="K16" s="36"/>
      <c r="M16" s="11">
        <f>M10</f>
        <v>2015</v>
      </c>
      <c r="N16" s="9">
        <f>D13</f>
        <v>318000</v>
      </c>
      <c r="O16" s="29">
        <f>2016-M16</f>
        <v>1</v>
      </c>
      <c r="P16" s="28">
        <f>(1+$F$16)^O16</f>
        <v>1.02</v>
      </c>
      <c r="Q16" s="45">
        <f>N16*P16</f>
        <v>324360</v>
      </c>
      <c r="R16" s="44">
        <f>Q10/Q16</f>
        <v>7.7845603650265136E-3</v>
      </c>
      <c r="S16" s="5"/>
    </row>
    <row r="17" spans="1:20" ht="17" thickBot="1" x14ac:dyDescent="0.25">
      <c r="A17" s="38"/>
      <c r="B17" s="40"/>
      <c r="C17" s="37" t="s">
        <v>183</v>
      </c>
      <c r="D17" s="37"/>
      <c r="E17" s="37"/>
      <c r="F17" s="113">
        <v>0.01</v>
      </c>
      <c r="G17" s="37"/>
      <c r="H17" s="37"/>
      <c r="I17" s="37"/>
      <c r="J17" s="37"/>
      <c r="K17" s="36"/>
      <c r="M17" s="143"/>
      <c r="N17" s="9"/>
      <c r="O17" s="28"/>
      <c r="P17" s="9"/>
      <c r="Q17" s="44"/>
      <c r="R17" s="5"/>
      <c r="S17" s="5"/>
    </row>
    <row r="18" spans="1:20" ht="17" thickBot="1" x14ac:dyDescent="0.25">
      <c r="A18" s="38"/>
      <c r="B18" s="40"/>
      <c r="C18" s="37" t="s">
        <v>182</v>
      </c>
      <c r="D18" s="37"/>
      <c r="E18" s="37"/>
      <c r="F18" s="113">
        <v>0.08</v>
      </c>
      <c r="G18" s="37"/>
      <c r="H18" s="37"/>
      <c r="I18" s="37"/>
      <c r="J18" s="37"/>
      <c r="K18" s="36"/>
      <c r="M18" s="5"/>
      <c r="N18" s="5"/>
      <c r="O18" s="5"/>
      <c r="P18" s="105" t="s">
        <v>181</v>
      </c>
      <c r="Q18" s="104"/>
      <c r="R18" s="142">
        <f>R16</f>
        <v>7.7845603650265136E-3</v>
      </c>
      <c r="S18" s="5" t="s">
        <v>180</v>
      </c>
      <c r="T18" s="5"/>
    </row>
    <row r="19" spans="1:20" x14ac:dyDescent="0.2">
      <c r="A19" s="38"/>
      <c r="B19" s="40"/>
      <c r="C19" s="37" t="s">
        <v>179</v>
      </c>
      <c r="D19" s="37"/>
      <c r="E19" s="37"/>
      <c r="F19" s="37"/>
      <c r="G19" s="37"/>
      <c r="H19" s="40">
        <v>1.8</v>
      </c>
      <c r="I19" s="37"/>
      <c r="J19" s="37"/>
      <c r="K19" s="36"/>
      <c r="M19" s="5"/>
      <c r="N19" s="5"/>
      <c r="O19" s="5"/>
      <c r="P19" s="5"/>
      <c r="Q19" s="5"/>
      <c r="R19" s="41"/>
      <c r="S19" s="5"/>
      <c r="T19" s="5"/>
    </row>
    <row r="20" spans="1:20" x14ac:dyDescent="0.2">
      <c r="A20" s="38"/>
      <c r="B20" s="40"/>
      <c r="C20" s="37"/>
      <c r="D20" s="37"/>
      <c r="E20" s="37"/>
      <c r="F20" s="37"/>
      <c r="G20" s="37"/>
      <c r="H20" s="37"/>
      <c r="I20" s="37"/>
      <c r="J20" s="37"/>
      <c r="K20" s="36"/>
      <c r="M20" s="114" t="s">
        <v>178</v>
      </c>
      <c r="N20" s="5"/>
      <c r="S20" s="5"/>
    </row>
    <row r="21" spans="1:20" x14ac:dyDescent="0.2">
      <c r="A21" s="38" t="s">
        <v>40</v>
      </c>
      <c r="B21" s="39" t="s">
        <v>177</v>
      </c>
      <c r="C21" s="37" t="s">
        <v>176</v>
      </c>
      <c r="D21" s="37"/>
      <c r="E21" s="37"/>
      <c r="F21" s="37"/>
      <c r="G21" s="37"/>
      <c r="H21" s="37"/>
      <c r="I21" s="37"/>
      <c r="J21" s="37"/>
      <c r="K21" s="36"/>
      <c r="M21" s="193" t="s">
        <v>175</v>
      </c>
      <c r="N21" s="193"/>
      <c r="O21" s="193"/>
      <c r="P21" s="193"/>
      <c r="Q21" s="193"/>
      <c r="R21" s="193"/>
      <c r="S21" s="193"/>
    </row>
    <row r="22" spans="1:20" x14ac:dyDescent="0.2">
      <c r="A22" s="38"/>
      <c r="B22" s="40"/>
      <c r="C22" s="37"/>
      <c r="D22" s="37"/>
      <c r="E22" s="37"/>
      <c r="F22" s="37"/>
      <c r="G22" s="37"/>
      <c r="H22" s="37"/>
      <c r="I22" s="37"/>
      <c r="J22" s="37"/>
      <c r="K22" s="36"/>
      <c r="M22" s="193"/>
      <c r="N22" s="193"/>
      <c r="O22" s="193"/>
      <c r="P22" s="193"/>
      <c r="Q22" s="193"/>
      <c r="R22" s="193"/>
      <c r="S22" s="193"/>
    </row>
    <row r="23" spans="1:20" x14ac:dyDescent="0.2">
      <c r="A23" s="38" t="s">
        <v>36</v>
      </c>
      <c r="B23" s="39" t="s">
        <v>35</v>
      </c>
      <c r="C23" s="37" t="s">
        <v>174</v>
      </c>
      <c r="D23" s="37"/>
      <c r="E23" s="37"/>
      <c r="F23" s="37"/>
      <c r="G23" s="37"/>
      <c r="H23" s="37"/>
      <c r="I23" s="37"/>
      <c r="J23" s="37"/>
      <c r="K23" s="36"/>
      <c r="M23" s="102"/>
      <c r="N23" s="102"/>
      <c r="O23" s="102"/>
      <c r="P23" s="102"/>
      <c r="Q23" s="102"/>
      <c r="R23" s="102"/>
      <c r="S23" s="102"/>
    </row>
    <row r="24" spans="1:20" ht="17" x14ac:dyDescent="0.2">
      <c r="A24" s="38"/>
      <c r="B24" s="40"/>
      <c r="C24" s="37"/>
      <c r="D24" s="37"/>
      <c r="E24" s="37"/>
      <c r="F24" s="37"/>
      <c r="G24" s="37"/>
      <c r="H24" s="37"/>
      <c r="I24" s="37"/>
      <c r="J24" s="37"/>
      <c r="K24" s="36"/>
      <c r="M24" s="141" t="s">
        <v>11</v>
      </c>
      <c r="N24" s="102"/>
      <c r="O24" s="102"/>
      <c r="P24" s="102"/>
      <c r="Q24" s="102"/>
      <c r="R24" s="102"/>
      <c r="S24" s="102"/>
    </row>
    <row r="25" spans="1:20" x14ac:dyDescent="0.2">
      <c r="A25" s="38" t="s">
        <v>173</v>
      </c>
      <c r="B25" s="39" t="s">
        <v>135</v>
      </c>
      <c r="C25" s="37" t="s">
        <v>172</v>
      </c>
      <c r="D25" s="37"/>
      <c r="E25" s="37"/>
      <c r="F25" s="37"/>
      <c r="G25" s="37"/>
      <c r="H25" s="37"/>
      <c r="I25" s="37"/>
      <c r="J25" s="37"/>
      <c r="K25" s="36"/>
      <c r="M25" s="5" t="s">
        <v>171</v>
      </c>
      <c r="N25" s="5"/>
      <c r="O25" s="5"/>
      <c r="P25" s="5"/>
      <c r="Q25" s="5"/>
      <c r="R25" s="102"/>
      <c r="S25" s="5"/>
    </row>
    <row r="26" spans="1:20" x14ac:dyDescent="0.2">
      <c r="A26" s="38"/>
      <c r="B26" s="40"/>
      <c r="C26" s="37" t="s">
        <v>170</v>
      </c>
      <c r="D26" s="37"/>
      <c r="E26" s="37"/>
      <c r="F26" s="37"/>
      <c r="G26" s="37"/>
      <c r="H26" s="37"/>
      <c r="I26" s="37"/>
      <c r="J26" s="37"/>
      <c r="K26" s="36"/>
      <c r="M26" s="5"/>
      <c r="N26" s="5"/>
      <c r="O26" s="5"/>
      <c r="P26" s="5"/>
      <c r="Q26" s="5"/>
      <c r="R26" s="102"/>
      <c r="S26" s="5"/>
    </row>
    <row r="27" spans="1:20" ht="17" thickBot="1" x14ac:dyDescent="0.25">
      <c r="A27" s="38"/>
      <c r="B27" s="40"/>
      <c r="C27" s="37"/>
      <c r="D27" s="37"/>
      <c r="E27" s="37"/>
      <c r="F27" s="37"/>
      <c r="G27" s="37"/>
      <c r="H27" s="37"/>
      <c r="I27" s="37"/>
      <c r="J27" s="37"/>
      <c r="K27" s="36"/>
      <c r="M27" s="24" t="s">
        <v>21</v>
      </c>
      <c r="N27" s="31" t="s">
        <v>18</v>
      </c>
      <c r="O27" s="23" t="s">
        <v>31</v>
      </c>
      <c r="P27" s="24" t="s">
        <v>30</v>
      </c>
      <c r="Q27" s="23" t="s">
        <v>28</v>
      </c>
      <c r="R27" s="102"/>
    </row>
    <row r="28" spans="1:20" ht="18" thickBot="1" x14ac:dyDescent="0.25">
      <c r="A28" s="35" t="s">
        <v>32</v>
      </c>
      <c r="B28" s="33"/>
      <c r="C28" s="34"/>
      <c r="D28" s="33"/>
      <c r="E28" s="33"/>
      <c r="F28" s="33"/>
      <c r="G28" s="33"/>
      <c r="H28" s="33"/>
      <c r="I28" s="33"/>
      <c r="J28" s="33"/>
      <c r="K28" s="32"/>
      <c r="M28" s="16" t="s">
        <v>17</v>
      </c>
      <c r="N28" s="21" t="s">
        <v>14</v>
      </c>
      <c r="O28" s="21" t="s">
        <v>169</v>
      </c>
      <c r="P28" s="16" t="s">
        <v>26</v>
      </c>
      <c r="Q28" s="21" t="s">
        <v>14</v>
      </c>
      <c r="R28" s="102"/>
    </row>
    <row r="29" spans="1:20" x14ac:dyDescent="0.2">
      <c r="M29" s="11">
        <f>C11</f>
        <v>2013</v>
      </c>
      <c r="N29" s="9">
        <f>G11</f>
        <v>7000</v>
      </c>
      <c r="O29" s="29">
        <f>2016-M29</f>
        <v>3</v>
      </c>
      <c r="P29" s="56">
        <f>(1+$F$18)^O29</f>
        <v>1.2597120000000002</v>
      </c>
      <c r="Q29" s="9">
        <f>N29*P29</f>
        <v>8817.9840000000004</v>
      </c>
      <c r="R29" s="102"/>
    </row>
    <row r="30" spans="1:20" x14ac:dyDescent="0.2">
      <c r="M30" s="11">
        <f>C12</f>
        <v>2014</v>
      </c>
      <c r="N30" s="9">
        <f>G12</f>
        <v>7500</v>
      </c>
      <c r="O30" s="29">
        <f>2016-M30</f>
        <v>2</v>
      </c>
      <c r="P30" s="56">
        <f>(1+$F$18)^O30</f>
        <v>1.1664000000000001</v>
      </c>
      <c r="Q30" s="9">
        <f>N30*P30</f>
        <v>8748</v>
      </c>
      <c r="R30" s="102"/>
    </row>
    <row r="31" spans="1:20" ht="17" thickBot="1" x14ac:dyDescent="0.25">
      <c r="M31" s="5"/>
      <c r="N31" s="5"/>
      <c r="O31" s="5"/>
      <c r="P31" s="5"/>
      <c r="Q31" s="5"/>
      <c r="R31" s="102"/>
      <c r="S31" s="5"/>
    </row>
    <row r="32" spans="1:20" ht="17" thickBot="1" x14ac:dyDescent="0.25">
      <c r="M32" s="5"/>
      <c r="N32" s="5"/>
      <c r="O32" s="209" t="s">
        <v>168</v>
      </c>
      <c r="P32" s="210"/>
      <c r="Q32" s="103">
        <f>AVERAGE(Q29:Q30)</f>
        <v>8782.9920000000002</v>
      </c>
      <c r="R32" s="102"/>
    </row>
    <row r="33" spans="13:19" x14ac:dyDescent="0.2">
      <c r="M33" s="5"/>
      <c r="N33" s="5"/>
      <c r="O33" s="5"/>
      <c r="S33" s="5"/>
    </row>
    <row r="34" spans="13:19" x14ac:dyDescent="0.2">
      <c r="M34" s="5" t="s">
        <v>167</v>
      </c>
      <c r="N34" s="5"/>
      <c r="O34" s="5"/>
      <c r="S34" s="5"/>
    </row>
    <row r="35" spans="13:19" x14ac:dyDescent="0.2">
      <c r="M35" s="5"/>
      <c r="N35" s="5"/>
      <c r="O35" s="5"/>
      <c r="S35" s="5"/>
    </row>
    <row r="36" spans="13:19" x14ac:dyDescent="0.2">
      <c r="M36" s="7" t="s">
        <v>166</v>
      </c>
      <c r="N36" s="5"/>
      <c r="O36" s="5"/>
      <c r="S36" s="5"/>
    </row>
    <row r="37" spans="13:19" x14ac:dyDescent="0.2">
      <c r="M37" s="5"/>
      <c r="N37" s="5"/>
      <c r="O37" s="5"/>
      <c r="S37" s="5"/>
    </row>
    <row r="38" spans="13:19" x14ac:dyDescent="0.2">
      <c r="M38" s="5" t="s">
        <v>165</v>
      </c>
      <c r="N38" s="5"/>
      <c r="O38" s="5"/>
      <c r="P38" s="5"/>
      <c r="Q38" s="5"/>
      <c r="R38" s="5"/>
      <c r="S38" s="5"/>
    </row>
    <row r="39" spans="13:19" x14ac:dyDescent="0.2">
      <c r="M39" s="5"/>
      <c r="N39" s="5"/>
      <c r="O39" s="5"/>
      <c r="P39" s="5"/>
      <c r="Q39" s="5"/>
      <c r="R39" s="5"/>
      <c r="S39" s="5"/>
    </row>
    <row r="40" spans="13:19" x14ac:dyDescent="0.2">
      <c r="M40" s="5" t="s">
        <v>164</v>
      </c>
      <c r="N40" s="5"/>
      <c r="O40" s="5"/>
      <c r="P40" s="5"/>
      <c r="Q40" s="5"/>
      <c r="R40" s="5"/>
      <c r="S40" s="5"/>
    </row>
    <row r="41" spans="13:19" x14ac:dyDescent="0.2">
      <c r="M41" s="5" t="s">
        <v>163</v>
      </c>
      <c r="N41" s="5"/>
      <c r="O41" s="25">
        <f>D14</f>
        <v>325000</v>
      </c>
      <c r="P41" s="5"/>
      <c r="Q41" s="5"/>
      <c r="R41" s="5"/>
      <c r="S41" s="5"/>
    </row>
    <row r="42" spans="13:19" x14ac:dyDescent="0.2">
      <c r="M42" s="5" t="s">
        <v>162</v>
      </c>
      <c r="N42" s="5"/>
      <c r="O42" s="44">
        <f>R18</f>
        <v>7.7845603650265136E-3</v>
      </c>
      <c r="P42" s="5"/>
      <c r="Q42" s="5"/>
      <c r="R42" s="5"/>
      <c r="S42" s="5"/>
    </row>
    <row r="43" spans="13:19" x14ac:dyDescent="0.2">
      <c r="M43" s="5" t="s">
        <v>161</v>
      </c>
      <c r="N43" s="5"/>
      <c r="O43" s="25">
        <f>Q32</f>
        <v>8782.9920000000002</v>
      </c>
      <c r="P43" s="5"/>
      <c r="Q43" s="5"/>
      <c r="R43" s="5"/>
      <c r="S43" s="5"/>
    </row>
    <row r="44" spans="13:19" x14ac:dyDescent="0.2">
      <c r="M44" s="5" t="s">
        <v>160</v>
      </c>
      <c r="N44" s="5"/>
      <c r="O44" s="25">
        <f>O41*O42*O43</f>
        <v>22220812.708102111</v>
      </c>
      <c r="P44" s="5"/>
      <c r="Q44" s="5"/>
      <c r="R44" s="5"/>
      <c r="S44" s="5"/>
    </row>
    <row r="45" spans="13:19" x14ac:dyDescent="0.2">
      <c r="M45" s="5"/>
      <c r="N45" s="5"/>
      <c r="O45" s="5"/>
      <c r="P45" s="5"/>
      <c r="Q45" s="5"/>
      <c r="R45" s="5"/>
      <c r="S45" s="5"/>
    </row>
    <row r="46" spans="13:19" ht="17" thickBot="1" x14ac:dyDescent="0.25">
      <c r="M46" s="5" t="s">
        <v>159</v>
      </c>
      <c r="N46" s="5"/>
      <c r="O46" s="140">
        <f>1-1/H19</f>
        <v>0.44444444444444442</v>
      </c>
      <c r="P46" s="5"/>
      <c r="Q46" s="5"/>
      <c r="R46" s="5"/>
      <c r="S46" s="5"/>
    </row>
    <row r="47" spans="13:19" ht="17" thickBot="1" x14ac:dyDescent="0.25">
      <c r="M47" s="105" t="s">
        <v>158</v>
      </c>
      <c r="N47" s="104"/>
      <c r="O47" s="139">
        <f>E14*1000+O44*O46</f>
        <v>20875916.759156495</v>
      </c>
      <c r="P47" s="5"/>
      <c r="Q47" s="5"/>
      <c r="R47" s="5"/>
      <c r="S47" s="5"/>
    </row>
    <row r="48" spans="13:19" x14ac:dyDescent="0.2">
      <c r="M48" s="5"/>
      <c r="N48" s="5"/>
      <c r="O48" s="5"/>
      <c r="P48" s="5"/>
      <c r="Q48" s="5"/>
      <c r="R48" s="5"/>
      <c r="S48" s="5"/>
    </row>
    <row r="49" spans="13:19" x14ac:dyDescent="0.2">
      <c r="M49" s="5"/>
      <c r="N49" s="5"/>
      <c r="O49" s="5"/>
      <c r="P49" s="5"/>
      <c r="Q49" s="5"/>
      <c r="R49" s="5"/>
      <c r="S49" s="5"/>
    </row>
    <row r="50" spans="13:19" ht="19" x14ac:dyDescent="0.25">
      <c r="M50" s="3" t="s">
        <v>1</v>
      </c>
    </row>
    <row r="51" spans="13:19" x14ac:dyDescent="0.2">
      <c r="M51" s="1" t="s">
        <v>0</v>
      </c>
    </row>
  </sheetData>
  <mergeCells count="2">
    <mergeCell ref="O32:P32"/>
    <mergeCell ref="M21:S22"/>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Sp 2015 #21</vt:lpstr>
      <vt:lpstr>F 2015 #20</vt:lpstr>
      <vt:lpstr>Sp 2016 #19</vt:lpstr>
      <vt:lpstr>F 2016 #20</vt:lpstr>
      <vt:lpstr>F 2016 #22</vt:lpstr>
      <vt:lpstr>Sp 2017 #16</vt:lpstr>
      <vt:lpstr>Sp 2017 #17</vt:lpstr>
      <vt:lpstr>F 2017 #18</vt:lpstr>
      <vt:lpstr>F 2017 #20</vt:lpstr>
      <vt:lpstr>F 2017 #23</vt:lpstr>
      <vt:lpstr>Sp 2018 #18</vt:lpstr>
      <vt:lpstr>Sp 2018M #17</vt:lpstr>
      <vt:lpstr>F 2018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Roll</dc:creator>
  <cp:lastModifiedBy>Steve Roll</cp:lastModifiedBy>
  <dcterms:created xsi:type="dcterms:W3CDTF">2023-11-06T01:50:45Z</dcterms:created>
  <dcterms:modified xsi:type="dcterms:W3CDTF">2023-11-06T02:03:22Z</dcterms:modified>
</cp:coreProperties>
</file>