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roll/Rising Fellow Dropbox/Rising Fellow/_Products/Exam 8/_Problem Pack/Completed/Solutions/"/>
    </mc:Choice>
  </mc:AlternateContent>
  <xr:revisionPtr revIDLastSave="0" documentId="13_ncr:1_{268C8CC3-C703-484E-B94D-5B9857A98AD9}" xr6:coauthVersionLast="47" xr6:coauthVersionMax="47" xr10:uidLastSave="{00000000-0000-0000-0000-000000000000}"/>
  <bookViews>
    <workbookView xWindow="0" yWindow="500" windowWidth="17700" windowHeight="20960" firstSheet="5" xr2:uid="{B165D82A-5EDD-2E46-9C72-DFB17C8AEE10}"/>
  </bookViews>
  <sheets>
    <sheet name="Fisher - 1" sheetId="48" r:id="rId1"/>
    <sheet name="Fisher - 2" sheetId="49" r:id="rId2"/>
    <sheet name="Fisher - 3" sheetId="50" r:id="rId3"/>
    <sheet name="Fisher - 4" sheetId="51" r:id="rId4"/>
    <sheet name="Fisher - 5" sheetId="52" r:id="rId5"/>
    <sheet name="Fisher - 6" sheetId="53" r:id="rId6"/>
    <sheet name="Fisher - 7" sheetId="54" r:id="rId7"/>
    <sheet name="Fisher - 8" sheetId="55" r:id="rId8"/>
    <sheet name="Fisher - 9" sheetId="56" r:id="rId9"/>
    <sheet name="Fisher - 10" sheetId="59" r:id="rId10"/>
    <sheet name="Fisher - 11" sheetId="60" r:id="rId11"/>
    <sheet name="Fisher - 12" sheetId="61" r:id="rId12"/>
    <sheet name="Fisher - 13" sheetId="6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61" l="1"/>
  <c r="D65" i="61"/>
  <c r="E50" i="61"/>
  <c r="E51" i="61"/>
  <c r="E52" i="61"/>
  <c r="E53" i="61"/>
  <c r="E54" i="61"/>
  <c r="E55" i="61"/>
  <c r="E56" i="61"/>
  <c r="E57" i="61"/>
  <c r="E58" i="61"/>
  <c r="E49" i="61"/>
  <c r="D52" i="61"/>
  <c r="D51" i="61"/>
  <c r="C43" i="61"/>
  <c r="J68" i="60"/>
  <c r="J67" i="60"/>
  <c r="J66" i="60"/>
  <c r="J65" i="60"/>
  <c r="J63" i="60"/>
  <c r="J61" i="60"/>
  <c r="J60" i="60"/>
  <c r="J58" i="60"/>
  <c r="J56" i="60"/>
  <c r="J54" i="60"/>
  <c r="J52" i="60"/>
  <c r="I67" i="60"/>
  <c r="I66" i="60"/>
  <c r="I65" i="60"/>
  <c r="I63" i="60"/>
  <c r="I61" i="60"/>
  <c r="I60" i="60"/>
  <c r="I58" i="60"/>
  <c r="I56" i="60"/>
  <c r="I54" i="60"/>
  <c r="I52" i="60"/>
  <c r="I68" i="60"/>
  <c r="D68" i="60"/>
  <c r="D30" i="60"/>
  <c r="D34" i="60" s="1"/>
  <c r="G72" i="59"/>
  <c r="F73" i="59"/>
  <c r="F62" i="59"/>
  <c r="E67" i="59"/>
  <c r="E62" i="59"/>
  <c r="D61" i="59"/>
  <c r="B66" i="59"/>
  <c r="D48" i="59"/>
  <c r="C50" i="59"/>
  <c r="G32" i="59"/>
  <c r="D35" i="59"/>
  <c r="D34" i="59"/>
  <c r="D33" i="59"/>
  <c r="D36" i="59"/>
  <c r="C40" i="59"/>
  <c r="C39" i="59"/>
  <c r="C38" i="59"/>
  <c r="C37" i="59"/>
  <c r="C36" i="59"/>
  <c r="C35" i="59"/>
  <c r="C34" i="59"/>
  <c r="C33" i="59"/>
  <c r="C32" i="59"/>
  <c r="C31" i="59"/>
  <c r="D68" i="56"/>
  <c r="H68" i="56" s="1"/>
  <c r="D40" i="56"/>
  <c r="C77" i="56"/>
  <c r="C78" i="56"/>
  <c r="C79" i="56"/>
  <c r="C80" i="56"/>
  <c r="C81" i="56"/>
  <c r="C82" i="56"/>
  <c r="C83" i="56"/>
  <c r="C76" i="56"/>
  <c r="D61" i="56"/>
  <c r="C61" i="56"/>
  <c r="F61" i="56" s="1"/>
  <c r="D60" i="56"/>
  <c r="C60" i="56"/>
  <c r="F60" i="56" s="1"/>
  <c r="D59" i="56"/>
  <c r="C59" i="56"/>
  <c r="F59" i="56" s="1"/>
  <c r="D58" i="56"/>
  <c r="C58" i="56"/>
  <c r="F58" i="56" s="1"/>
  <c r="D57" i="56"/>
  <c r="C57" i="56"/>
  <c r="F57" i="56" s="1"/>
  <c r="D56" i="56"/>
  <c r="C56" i="56"/>
  <c r="F56" i="56" s="1"/>
  <c r="D55" i="56"/>
  <c r="C55" i="56"/>
  <c r="F55" i="56" s="1"/>
  <c r="D54" i="56"/>
  <c r="C54" i="56"/>
  <c r="F54" i="56" s="1"/>
  <c r="D46" i="56"/>
  <c r="C46" i="56"/>
  <c r="F46" i="56" s="1"/>
  <c r="D45" i="56"/>
  <c r="C45" i="56"/>
  <c r="F45" i="56" s="1"/>
  <c r="D44" i="56"/>
  <c r="C44" i="56"/>
  <c r="F44" i="56" s="1"/>
  <c r="D43" i="56"/>
  <c r="C43" i="56"/>
  <c r="F43" i="56" s="1"/>
  <c r="D42" i="56"/>
  <c r="C42" i="56"/>
  <c r="F42" i="56" s="1"/>
  <c r="D41" i="56"/>
  <c r="C41" i="56"/>
  <c r="F41" i="56" s="1"/>
  <c r="C40" i="56"/>
  <c r="F40" i="56" s="1"/>
  <c r="D39" i="56"/>
  <c r="C39" i="56"/>
  <c r="F39" i="56" s="1"/>
  <c r="D110" i="55"/>
  <c r="F91" i="55"/>
  <c r="C81" i="55"/>
  <c r="D54" i="55"/>
  <c r="C92" i="54"/>
  <c r="C92" i="53"/>
  <c r="D90" i="54"/>
  <c r="D89" i="54"/>
  <c r="D88" i="54"/>
  <c r="D87" i="54"/>
  <c r="D86" i="54"/>
  <c r="D85" i="54"/>
  <c r="D84" i="54"/>
  <c r="D83" i="54"/>
  <c r="D82" i="54"/>
  <c r="D81" i="54"/>
  <c r="D80" i="54"/>
  <c r="D79" i="54"/>
  <c r="D51" i="54"/>
  <c r="D78" i="54"/>
  <c r="J66" i="54"/>
  <c r="D56" i="54"/>
  <c r="D72" i="53"/>
  <c r="D63" i="53"/>
  <c r="D57" i="53"/>
  <c r="G57" i="53"/>
  <c r="D64" i="53"/>
  <c r="D76" i="56" l="1"/>
  <c r="E43" i="56"/>
  <c r="E40" i="56"/>
  <c r="D74" i="56"/>
  <c r="G43" i="52" l="1"/>
  <c r="F43" i="52"/>
  <c r="F67" i="52" s="1"/>
  <c r="E43" i="52"/>
  <c r="D43" i="52"/>
  <c r="E67" i="52"/>
  <c r="D67" i="52"/>
  <c r="G46" i="52"/>
  <c r="F46" i="52"/>
  <c r="G47" i="52"/>
  <c r="F47" i="52"/>
  <c r="E47" i="52"/>
  <c r="D47" i="52"/>
  <c r="D130" i="51"/>
  <c r="D108" i="50" l="1"/>
  <c r="D92" i="50"/>
  <c r="E73" i="50"/>
  <c r="D64" i="50"/>
  <c r="F107" i="49"/>
  <c r="F106" i="49"/>
  <c r="E106" i="49"/>
  <c r="D106" i="49"/>
  <c r="F86" i="49"/>
  <c r="E85" i="49"/>
  <c r="D85" i="49"/>
  <c r="F76" i="49"/>
  <c r="E77" i="49"/>
  <c r="D76" i="49"/>
  <c r="G58" i="49"/>
  <c r="F75" i="49"/>
  <c r="D84" i="48"/>
  <c r="F58" i="48"/>
  <c r="E76" i="48"/>
  <c r="E75" i="48"/>
  <c r="E74" i="48"/>
  <c r="E73" i="48"/>
  <c r="E72" i="48"/>
  <c r="E71" i="48"/>
  <c r="E70" i="48"/>
  <c r="E69" i="48"/>
  <c r="E68" i="48"/>
  <c r="E67" i="48"/>
  <c r="E66" i="48"/>
  <c r="E65" i="48"/>
  <c r="E64" i="48"/>
  <c r="E63" i="48"/>
  <c r="E62" i="48"/>
  <c r="E61" i="48"/>
  <c r="E60" i="48"/>
  <c r="E59" i="48"/>
  <c r="E58" i="48"/>
  <c r="E57" i="48"/>
  <c r="D76" i="48"/>
  <c r="D75" i="48"/>
  <c r="D74" i="48"/>
  <c r="D73" i="48"/>
  <c r="D72" i="48"/>
  <c r="D71" i="48"/>
  <c r="D70" i="48"/>
  <c r="D69" i="48"/>
  <c r="D68" i="48"/>
  <c r="D67" i="48"/>
  <c r="D66" i="48"/>
  <c r="D65" i="48"/>
  <c r="D64" i="48"/>
  <c r="D63" i="48"/>
  <c r="D62" i="48"/>
  <c r="D61" i="48"/>
  <c r="D60" i="48"/>
  <c r="D59" i="48"/>
  <c r="D58" i="48"/>
  <c r="D57" i="48"/>
  <c r="C50" i="62" l="1"/>
  <c r="C63" i="62" s="1"/>
  <c r="C67" i="62" s="1"/>
  <c r="D42" i="62"/>
  <c r="G42" i="62" s="1"/>
  <c r="D41" i="62"/>
  <c r="G41" i="62" s="1"/>
  <c r="D37" i="62"/>
  <c r="E18" i="61" l="1"/>
  <c r="D49" i="61" s="1"/>
  <c r="D18" i="61"/>
  <c r="C38" i="61" s="1"/>
  <c r="H68" i="60"/>
  <c r="E68" i="60"/>
  <c r="E67" i="60"/>
  <c r="D67" i="60"/>
  <c r="D54" i="60"/>
  <c r="D56" i="60"/>
  <c r="D58" i="60"/>
  <c r="D60" i="60"/>
  <c r="D61" i="60"/>
  <c r="D63" i="60"/>
  <c r="D65" i="60"/>
  <c r="D66" i="60"/>
  <c r="D52" i="60"/>
  <c r="C36" i="60"/>
  <c r="C37" i="60"/>
  <c r="D37" i="60" s="1"/>
  <c r="C38" i="60"/>
  <c r="C39" i="60"/>
  <c r="C40" i="60"/>
  <c r="C41" i="60"/>
  <c r="C42" i="60"/>
  <c r="C43" i="60"/>
  <c r="C35" i="60"/>
  <c r="D60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59" i="59"/>
  <c r="E59" i="59" s="1"/>
  <c r="B73" i="59"/>
  <c r="B68" i="59"/>
  <c r="B69" i="59"/>
  <c r="B70" i="59"/>
  <c r="B63" i="59"/>
  <c r="B64" i="59"/>
  <c r="B65" i="59"/>
  <c r="B62" i="59"/>
  <c r="D31" i="59"/>
  <c r="C46" i="59" s="1"/>
  <c r="D32" i="59"/>
  <c r="C47" i="59" s="1"/>
  <c r="C48" i="59"/>
  <c r="C49" i="59"/>
  <c r="C51" i="59"/>
  <c r="D37" i="59"/>
  <c r="C52" i="59" s="1"/>
  <c r="D38" i="59"/>
  <c r="C53" i="59" s="1"/>
  <c r="D39" i="59"/>
  <c r="C54" i="59" s="1"/>
  <c r="D30" i="59"/>
  <c r="C45" i="59" s="1"/>
  <c r="D58" i="61" l="1"/>
  <c r="D53" i="61"/>
  <c r="D57" i="61"/>
  <c r="D55" i="61"/>
  <c r="D54" i="61"/>
  <c r="D50" i="61"/>
  <c r="E69" i="59"/>
  <c r="E74" i="59"/>
  <c r="E66" i="59"/>
  <c r="E73" i="59"/>
  <c r="E65" i="59"/>
  <c r="E72" i="59"/>
  <c r="E64" i="59"/>
  <c r="E71" i="59"/>
  <c r="E63" i="59"/>
  <c r="E70" i="59"/>
  <c r="E61" i="59"/>
  <c r="E68" i="59"/>
  <c r="E60" i="59"/>
  <c r="D56" i="61"/>
  <c r="E66" i="60"/>
  <c r="D41" i="60"/>
  <c r="C62" i="60" s="1"/>
  <c r="D35" i="60"/>
  <c r="C53" i="60" s="1"/>
  <c r="D36" i="60"/>
  <c r="C55" i="60" s="1"/>
  <c r="D38" i="60"/>
  <c r="C57" i="60" s="1"/>
  <c r="D40" i="60"/>
  <c r="D43" i="60"/>
  <c r="D39" i="60"/>
  <c r="C59" i="60" s="1"/>
  <c r="D42" i="60"/>
  <c r="C64" i="60" s="1"/>
  <c r="D57" i="60" l="1"/>
  <c r="J57" i="60"/>
  <c r="I57" i="60"/>
  <c r="D55" i="60"/>
  <c r="J55" i="60"/>
  <c r="I55" i="60"/>
  <c r="D53" i="60"/>
  <c r="J53" i="60"/>
  <c r="I53" i="60"/>
  <c r="D62" i="60"/>
  <c r="J62" i="60"/>
  <c r="I62" i="60"/>
  <c r="D64" i="60"/>
  <c r="J64" i="60"/>
  <c r="I64" i="60"/>
  <c r="J59" i="60"/>
  <c r="I59" i="60"/>
  <c r="D59" i="60"/>
  <c r="E65" i="60"/>
  <c r="E55" i="60" l="1"/>
  <c r="E64" i="60"/>
  <c r="E63" i="60" l="1"/>
  <c r="E62" i="60" l="1"/>
  <c r="E61" i="60" l="1"/>
  <c r="E60" i="60" l="1"/>
  <c r="E59" i="60" l="1"/>
  <c r="E58" i="60" l="1"/>
  <c r="E57" i="60" l="1"/>
  <c r="E56" i="60" l="1"/>
  <c r="E54" i="60" l="1"/>
  <c r="E53" i="60" l="1"/>
  <c r="C30" i="59"/>
  <c r="D18" i="59"/>
  <c r="E18" i="59"/>
  <c r="F18" i="59"/>
  <c r="G18" i="59"/>
  <c r="H18" i="59"/>
  <c r="I18" i="59"/>
  <c r="C18" i="59"/>
  <c r="E52" i="60" l="1"/>
  <c r="D40" i="59"/>
  <c r="C80" i="60" l="1"/>
  <c r="C77" i="60"/>
  <c r="F56" i="60"/>
  <c r="F68" i="60"/>
  <c r="F52" i="60"/>
  <c r="F67" i="60"/>
  <c r="G67" i="60" s="1"/>
  <c r="H67" i="60" s="1"/>
  <c r="F66" i="60"/>
  <c r="F65" i="60"/>
  <c r="F64" i="60"/>
  <c r="F63" i="60"/>
  <c r="F62" i="60"/>
  <c r="F61" i="60"/>
  <c r="F60" i="60"/>
  <c r="F59" i="60"/>
  <c r="F58" i="60"/>
  <c r="F57" i="60"/>
  <c r="F55" i="60"/>
  <c r="F54" i="60"/>
  <c r="F53" i="60"/>
  <c r="D46" i="59"/>
  <c r="D47" i="59"/>
  <c r="D51" i="59"/>
  <c r="D45" i="59"/>
  <c r="D49" i="59"/>
  <c r="D50" i="59"/>
  <c r="D52" i="59"/>
  <c r="D53" i="59"/>
  <c r="D54" i="59"/>
  <c r="F74" i="59"/>
  <c r="E77" i="56"/>
  <c r="E78" i="56"/>
  <c r="E79" i="56"/>
  <c r="E80" i="56"/>
  <c r="E81" i="56"/>
  <c r="E82" i="56"/>
  <c r="E83" i="56"/>
  <c r="F82" i="56" s="1"/>
  <c r="E76" i="56"/>
  <c r="E61" i="56"/>
  <c r="E60" i="56"/>
  <c r="E59" i="56"/>
  <c r="E58" i="56"/>
  <c r="E57" i="56"/>
  <c r="E56" i="56"/>
  <c r="E55" i="56"/>
  <c r="E54" i="56"/>
  <c r="E41" i="56"/>
  <c r="E42" i="56"/>
  <c r="E44" i="56"/>
  <c r="E45" i="56"/>
  <c r="E46" i="56"/>
  <c r="E39" i="56"/>
  <c r="E91" i="55"/>
  <c r="E92" i="55"/>
  <c r="E93" i="55"/>
  <c r="E94" i="55"/>
  <c r="E95" i="55"/>
  <c r="E96" i="55"/>
  <c r="E97" i="55"/>
  <c r="E98" i="55"/>
  <c r="E99" i="55"/>
  <c r="E100" i="55"/>
  <c r="E101" i="55"/>
  <c r="E102" i="55"/>
  <c r="E103" i="55"/>
  <c r="E104" i="55"/>
  <c r="E90" i="55"/>
  <c r="D91" i="55"/>
  <c r="D92" i="55"/>
  <c r="F92" i="55" s="1"/>
  <c r="D93" i="55"/>
  <c r="D94" i="55"/>
  <c r="F94" i="55" s="1"/>
  <c r="D95" i="55"/>
  <c r="D96" i="55"/>
  <c r="D97" i="55"/>
  <c r="D98" i="55"/>
  <c r="D99" i="55"/>
  <c r="F99" i="55" s="1"/>
  <c r="D100" i="55"/>
  <c r="F100" i="55" s="1"/>
  <c r="D101" i="55"/>
  <c r="D102" i="55"/>
  <c r="F102" i="55" s="1"/>
  <c r="D103" i="55"/>
  <c r="D104" i="55"/>
  <c r="D90" i="55"/>
  <c r="G79" i="55"/>
  <c r="G78" i="55"/>
  <c r="G77" i="55"/>
  <c r="G76" i="55"/>
  <c r="G75" i="55"/>
  <c r="G74" i="55"/>
  <c r="G73" i="55"/>
  <c r="G72" i="55"/>
  <c r="G71" i="55"/>
  <c r="D72" i="55"/>
  <c r="D73" i="55"/>
  <c r="D74" i="55"/>
  <c r="D75" i="55"/>
  <c r="D76" i="55"/>
  <c r="D77" i="55"/>
  <c r="D78" i="55"/>
  <c r="D79" i="55"/>
  <c r="D71" i="55"/>
  <c r="G55" i="55"/>
  <c r="G56" i="55"/>
  <c r="G57" i="55"/>
  <c r="G58" i="55"/>
  <c r="G59" i="55"/>
  <c r="G60" i="55"/>
  <c r="G61" i="55"/>
  <c r="G62" i="55"/>
  <c r="G54" i="55"/>
  <c r="D55" i="55"/>
  <c r="D56" i="55"/>
  <c r="D57" i="55"/>
  <c r="D58" i="55"/>
  <c r="D59" i="55"/>
  <c r="D60" i="55"/>
  <c r="D61" i="55"/>
  <c r="D62" i="55"/>
  <c r="F63" i="56" l="1"/>
  <c r="F48" i="56"/>
  <c r="F98" i="55"/>
  <c r="F90" i="55"/>
  <c r="F104" i="55"/>
  <c r="F95" i="55"/>
  <c r="F97" i="55"/>
  <c r="F103" i="55"/>
  <c r="F101" i="55"/>
  <c r="F93" i="55"/>
  <c r="G74" i="59"/>
  <c r="F96" i="55"/>
  <c r="G66" i="60"/>
  <c r="G83" i="56"/>
  <c r="G82" i="56"/>
  <c r="F81" i="56"/>
  <c r="G81" i="56" s="1"/>
  <c r="F77" i="56"/>
  <c r="G77" i="56" s="1"/>
  <c r="F80" i="56"/>
  <c r="G80" i="56" s="1"/>
  <c r="F76" i="56"/>
  <c r="G76" i="56" s="1"/>
  <c r="F79" i="56"/>
  <c r="G79" i="56" s="1"/>
  <c r="F78" i="56"/>
  <c r="G78" i="56" s="1"/>
  <c r="D77" i="56"/>
  <c r="D81" i="56"/>
  <c r="D79" i="56"/>
  <c r="D80" i="56"/>
  <c r="D75" i="56"/>
  <c r="D78" i="56"/>
  <c r="D82" i="56"/>
  <c r="D83" i="56"/>
  <c r="F75" i="56"/>
  <c r="G75" i="56" s="1"/>
  <c r="E105" i="55"/>
  <c r="D105" i="55"/>
  <c r="C64" i="55"/>
  <c r="F72" i="59" l="1"/>
  <c r="G73" i="59"/>
  <c r="G65" i="60"/>
  <c r="H66" i="60"/>
  <c r="H82" i="56"/>
  <c r="H81" i="56" s="1"/>
  <c r="H80" i="56" s="1"/>
  <c r="H79" i="56" s="1"/>
  <c r="C87" i="56" s="1"/>
  <c r="F105" i="55"/>
  <c r="C89" i="60" l="1"/>
  <c r="F89" i="60"/>
  <c r="F71" i="59"/>
  <c r="H65" i="60"/>
  <c r="G64" i="60"/>
  <c r="H78" i="56"/>
  <c r="H77" i="56" s="1"/>
  <c r="H76" i="56" s="1"/>
  <c r="H75" i="56" s="1"/>
  <c r="D57" i="54"/>
  <c r="D58" i="54"/>
  <c r="D59" i="54"/>
  <c r="D60" i="54"/>
  <c r="D61" i="54"/>
  <c r="D52" i="54"/>
  <c r="D53" i="54"/>
  <c r="D54" i="54"/>
  <c r="D55" i="54"/>
  <c r="D50" i="54"/>
  <c r="D81" i="53"/>
  <c r="D82" i="53"/>
  <c r="D83" i="53"/>
  <c r="D86" i="53"/>
  <c r="D87" i="53"/>
  <c r="D88" i="53"/>
  <c r="D89" i="53"/>
  <c r="D80" i="53"/>
  <c r="D66" i="53"/>
  <c r="D67" i="53"/>
  <c r="D68" i="53"/>
  <c r="D69" i="53"/>
  <c r="D70" i="53"/>
  <c r="D71" i="53"/>
  <c r="H57" i="53"/>
  <c r="F57" i="53" s="1"/>
  <c r="E57" i="53" s="1"/>
  <c r="C57" i="53" s="1"/>
  <c r="D62" i="54" l="1"/>
  <c r="D65" i="53"/>
  <c r="D85" i="53"/>
  <c r="D62" i="53"/>
  <c r="C74" i="53"/>
  <c r="D84" i="53"/>
  <c r="D90" i="53" s="1"/>
  <c r="F70" i="59"/>
  <c r="G71" i="59"/>
  <c r="G63" i="60"/>
  <c r="H64" i="60"/>
  <c r="B92" i="52"/>
  <c r="D92" i="52" s="1"/>
  <c r="B93" i="52"/>
  <c r="D93" i="52" s="1"/>
  <c r="B94" i="52"/>
  <c r="D94" i="52" s="1"/>
  <c r="B95" i="52"/>
  <c r="D95" i="52" s="1"/>
  <c r="B96" i="52"/>
  <c r="D96" i="52" s="1"/>
  <c r="D44" i="52"/>
  <c r="D45" i="52"/>
  <c r="D46" i="52"/>
  <c r="D48" i="52"/>
  <c r="D49" i="52"/>
  <c r="D50" i="52"/>
  <c r="D51" i="52"/>
  <c r="D52" i="52"/>
  <c r="D53" i="52"/>
  <c r="D54" i="52"/>
  <c r="D55" i="52"/>
  <c r="D56" i="52"/>
  <c r="D57" i="52"/>
  <c r="D58" i="52"/>
  <c r="D59" i="52"/>
  <c r="D60" i="52"/>
  <c r="D61" i="52"/>
  <c r="D42" i="52"/>
  <c r="F130" i="51"/>
  <c r="I101" i="51"/>
  <c r="J101" i="51" s="1"/>
  <c r="I102" i="51"/>
  <c r="J102" i="51" s="1"/>
  <c r="I103" i="51"/>
  <c r="J103" i="51" s="1"/>
  <c r="I104" i="51"/>
  <c r="J104" i="51" s="1"/>
  <c r="I105" i="51"/>
  <c r="J105" i="51" s="1"/>
  <c r="I106" i="51"/>
  <c r="J106" i="51" s="1"/>
  <c r="I107" i="51"/>
  <c r="J107" i="51" s="1"/>
  <c r="I108" i="51"/>
  <c r="J108" i="51" s="1"/>
  <c r="I109" i="51"/>
  <c r="J109" i="51" s="1"/>
  <c r="I110" i="51"/>
  <c r="J110" i="51" s="1"/>
  <c r="I111" i="51"/>
  <c r="J111" i="51" s="1"/>
  <c r="I112" i="51"/>
  <c r="J112" i="51" s="1"/>
  <c r="I113" i="51"/>
  <c r="J113" i="51" s="1"/>
  <c r="I114" i="51"/>
  <c r="J114" i="51" s="1"/>
  <c r="I115" i="51"/>
  <c r="J115" i="51" s="1"/>
  <c r="I116" i="51"/>
  <c r="J116" i="51" s="1"/>
  <c r="I117" i="51"/>
  <c r="J117" i="51" s="1"/>
  <c r="I118" i="51"/>
  <c r="J118" i="51" s="1"/>
  <c r="I119" i="51"/>
  <c r="J119" i="51" s="1"/>
  <c r="I100" i="51"/>
  <c r="J100" i="51" s="1"/>
  <c r="D114" i="51"/>
  <c r="E114" i="51" s="1"/>
  <c r="D113" i="51"/>
  <c r="E113" i="51" s="1"/>
  <c r="D112" i="51"/>
  <c r="E112" i="51" s="1"/>
  <c r="D111" i="51"/>
  <c r="E111" i="51" s="1"/>
  <c r="D110" i="51"/>
  <c r="E110" i="51" s="1"/>
  <c r="D109" i="51"/>
  <c r="E109" i="51" s="1"/>
  <c r="D108" i="51"/>
  <c r="E108" i="51" s="1"/>
  <c r="D107" i="51"/>
  <c r="E107" i="51" s="1"/>
  <c r="D106" i="51"/>
  <c r="E106" i="51" s="1"/>
  <c r="D105" i="51"/>
  <c r="E105" i="51" s="1"/>
  <c r="D104" i="51"/>
  <c r="E104" i="51" s="1"/>
  <c r="D103" i="51"/>
  <c r="E103" i="51" s="1"/>
  <c r="D102" i="51"/>
  <c r="E102" i="51" s="1"/>
  <c r="D101" i="51"/>
  <c r="D100" i="51"/>
  <c r="E100" i="51" s="1"/>
  <c r="D93" i="51"/>
  <c r="D100" i="50"/>
  <c r="D71" i="50"/>
  <c r="E71" i="50" s="1"/>
  <c r="D72" i="50"/>
  <c r="E72" i="50" s="1"/>
  <c r="D73" i="50"/>
  <c r="D74" i="50"/>
  <c r="E74" i="50" s="1"/>
  <c r="D75" i="50"/>
  <c r="E75" i="50" s="1"/>
  <c r="D76" i="50"/>
  <c r="E76" i="50" s="1"/>
  <c r="D77" i="50"/>
  <c r="E77" i="50" s="1"/>
  <c r="D78" i="50"/>
  <c r="E78" i="50" s="1"/>
  <c r="D79" i="50"/>
  <c r="E79" i="50" s="1"/>
  <c r="D80" i="50"/>
  <c r="E80" i="50" s="1"/>
  <c r="D81" i="50"/>
  <c r="E81" i="50" s="1"/>
  <c r="D82" i="50"/>
  <c r="E82" i="50" s="1"/>
  <c r="D83" i="50"/>
  <c r="E83" i="50" s="1"/>
  <c r="D84" i="50"/>
  <c r="E84" i="50" s="1"/>
  <c r="D85" i="50"/>
  <c r="E85" i="50" s="1"/>
  <c r="D86" i="50"/>
  <c r="E86" i="50" s="1"/>
  <c r="D87" i="50"/>
  <c r="E87" i="50" s="1"/>
  <c r="D88" i="50"/>
  <c r="E88" i="50" s="1"/>
  <c r="D89" i="50"/>
  <c r="E89" i="50" s="1"/>
  <c r="D70" i="50"/>
  <c r="E70" i="50" s="1"/>
  <c r="D38" i="49"/>
  <c r="D56" i="49" s="1"/>
  <c r="E38" i="49"/>
  <c r="D39" i="49"/>
  <c r="D57" i="49" s="1"/>
  <c r="E39" i="49"/>
  <c r="D40" i="49"/>
  <c r="D58" i="49" s="1"/>
  <c r="D41" i="49"/>
  <c r="D59" i="49" s="1"/>
  <c r="D42" i="49"/>
  <c r="D60" i="49" s="1"/>
  <c r="D43" i="49"/>
  <c r="D61" i="49" s="1"/>
  <c r="D44" i="49"/>
  <c r="D62" i="49" s="1"/>
  <c r="D45" i="49"/>
  <c r="D63" i="49" s="1"/>
  <c r="D46" i="49"/>
  <c r="D64" i="49" s="1"/>
  <c r="E46" i="49"/>
  <c r="D47" i="49"/>
  <c r="D65" i="49" s="1"/>
  <c r="D48" i="49"/>
  <c r="D66" i="49" s="1"/>
  <c r="D49" i="49"/>
  <c r="D67" i="49" s="1"/>
  <c r="E49" i="49"/>
  <c r="D50" i="49"/>
  <c r="D68" i="49" s="1"/>
  <c r="E50" i="49"/>
  <c r="D51" i="49"/>
  <c r="D69" i="49" s="1"/>
  <c r="E37" i="49"/>
  <c r="D37" i="49"/>
  <c r="E56" i="49"/>
  <c r="E57" i="49"/>
  <c r="E58" i="49"/>
  <c r="E59" i="49"/>
  <c r="E60" i="49"/>
  <c r="E61" i="49"/>
  <c r="E62" i="49"/>
  <c r="E63" i="49"/>
  <c r="E64" i="49"/>
  <c r="E65" i="49"/>
  <c r="E66" i="49"/>
  <c r="E67" i="49"/>
  <c r="E68" i="49"/>
  <c r="E69" i="49"/>
  <c r="E55" i="49"/>
  <c r="E41" i="49"/>
  <c r="E45" i="49"/>
  <c r="F69" i="59" l="1"/>
  <c r="G70" i="59"/>
  <c r="G62" i="60"/>
  <c r="H63" i="60"/>
  <c r="C72" i="54"/>
  <c r="E57" i="52"/>
  <c r="E58" i="52"/>
  <c r="E61" i="52"/>
  <c r="E59" i="52"/>
  <c r="E60" i="52"/>
  <c r="E42" i="52"/>
  <c r="E50" i="52"/>
  <c r="E46" i="52"/>
  <c r="E53" i="52"/>
  <c r="E49" i="52"/>
  <c r="E45" i="52"/>
  <c r="E52" i="52"/>
  <c r="G52" i="52" s="1"/>
  <c r="E48" i="52"/>
  <c r="E44" i="52"/>
  <c r="E51" i="52"/>
  <c r="G64" i="49"/>
  <c r="G67" i="49"/>
  <c r="G69" i="49"/>
  <c r="G49" i="49"/>
  <c r="G39" i="49"/>
  <c r="G61" i="49"/>
  <c r="G60" i="49"/>
  <c r="F57" i="49"/>
  <c r="G41" i="49"/>
  <c r="G68" i="49"/>
  <c r="G56" i="49"/>
  <c r="G63" i="49"/>
  <c r="G57" i="49"/>
  <c r="G65" i="49"/>
  <c r="G62" i="49"/>
  <c r="G59" i="49"/>
  <c r="G37" i="49"/>
  <c r="G38" i="49"/>
  <c r="F58" i="49"/>
  <c r="F61" i="49"/>
  <c r="G50" i="49"/>
  <c r="G45" i="49"/>
  <c r="E48" i="49"/>
  <c r="G48" i="49" s="1"/>
  <c r="E44" i="49"/>
  <c r="G44" i="49" s="1"/>
  <c r="E42" i="49"/>
  <c r="G42" i="49" s="1"/>
  <c r="E40" i="49"/>
  <c r="F37" i="49" s="1"/>
  <c r="E51" i="49"/>
  <c r="G51" i="49" s="1"/>
  <c r="E47" i="49"/>
  <c r="G47" i="49" s="1"/>
  <c r="E43" i="49"/>
  <c r="G43" i="49" s="1"/>
  <c r="F69" i="49"/>
  <c r="G66" i="49"/>
  <c r="F65" i="49"/>
  <c r="F68" i="49"/>
  <c r="F64" i="49"/>
  <c r="F60" i="49"/>
  <c r="F56" i="49"/>
  <c r="F67" i="49"/>
  <c r="F59" i="49"/>
  <c r="F63" i="49"/>
  <c r="F55" i="49"/>
  <c r="F66" i="49"/>
  <c r="F62" i="49"/>
  <c r="G46" i="49"/>
  <c r="D115" i="51"/>
  <c r="E101" i="51"/>
  <c r="E115" i="51" s="1"/>
  <c r="D122" i="51" s="1"/>
  <c r="D143" i="51" s="1"/>
  <c r="I120" i="51"/>
  <c r="J120" i="51"/>
  <c r="D90" i="50"/>
  <c r="D55" i="49"/>
  <c r="G55" i="49" s="1"/>
  <c r="I122" i="51" l="1"/>
  <c r="I143" i="51" s="1"/>
  <c r="F68" i="59"/>
  <c r="G69" i="59"/>
  <c r="G61" i="60"/>
  <c r="H62" i="60"/>
  <c r="G53" i="52"/>
  <c r="G51" i="52"/>
  <c r="G49" i="52"/>
  <c r="G50" i="52"/>
  <c r="G48" i="52"/>
  <c r="G61" i="52"/>
  <c r="G45" i="52"/>
  <c r="G60" i="52"/>
  <c r="G44" i="52"/>
  <c r="G59" i="52"/>
  <c r="E56" i="52"/>
  <c r="E55" i="52"/>
  <c r="E54" i="52"/>
  <c r="G58" i="52"/>
  <c r="G57" i="52"/>
  <c r="G42" i="52"/>
  <c r="F43" i="49"/>
  <c r="F84" i="49"/>
  <c r="F102" i="49" s="1"/>
  <c r="E84" i="49"/>
  <c r="E83" i="49"/>
  <c r="F85" i="49"/>
  <c r="F103" i="49" s="1"/>
  <c r="F87" i="49"/>
  <c r="F105" i="49" s="1"/>
  <c r="F104" i="49"/>
  <c r="E86" i="49"/>
  <c r="E87" i="49"/>
  <c r="F50" i="49"/>
  <c r="F38" i="49"/>
  <c r="F48" i="49"/>
  <c r="F42" i="49"/>
  <c r="F51" i="49"/>
  <c r="F40" i="49"/>
  <c r="F39" i="49"/>
  <c r="G40" i="49"/>
  <c r="F49" i="49"/>
  <c r="F44" i="49"/>
  <c r="F41" i="49"/>
  <c r="F46" i="49"/>
  <c r="F47" i="49"/>
  <c r="F45" i="49"/>
  <c r="D84" i="49"/>
  <c r="D83" i="49"/>
  <c r="F83" i="49"/>
  <c r="F101" i="49" s="1"/>
  <c r="D87" i="49"/>
  <c r="D86" i="49"/>
  <c r="E90" i="50"/>
  <c r="F67" i="59" l="1"/>
  <c r="G68" i="59"/>
  <c r="G60" i="60"/>
  <c r="H60" i="60" s="1"/>
  <c r="H61" i="60"/>
  <c r="F56" i="52"/>
  <c r="F45" i="52"/>
  <c r="F50" i="52"/>
  <c r="F44" i="52"/>
  <c r="F54" i="52"/>
  <c r="F61" i="52"/>
  <c r="F49" i="52"/>
  <c r="F52" i="52"/>
  <c r="F53" i="52"/>
  <c r="F60" i="52"/>
  <c r="F48" i="52"/>
  <c r="F58" i="52"/>
  <c r="F55" i="52"/>
  <c r="F57" i="52"/>
  <c r="F51" i="52"/>
  <c r="F59" i="52"/>
  <c r="F42" i="52"/>
  <c r="G56" i="52"/>
  <c r="G55" i="52"/>
  <c r="G54" i="52"/>
  <c r="D78" i="49"/>
  <c r="E102" i="49"/>
  <c r="F79" i="49"/>
  <c r="E105" i="49" s="1"/>
  <c r="E101" i="49"/>
  <c r="D75" i="49"/>
  <c r="E79" i="49"/>
  <c r="D105" i="49" s="1"/>
  <c r="E78" i="49"/>
  <c r="D104" i="49" s="1"/>
  <c r="D79" i="49"/>
  <c r="E76" i="49"/>
  <c r="D102" i="49" s="1"/>
  <c r="D103" i="49"/>
  <c r="F78" i="49"/>
  <c r="E104" i="49" s="1"/>
  <c r="F77" i="49"/>
  <c r="E103" i="49" s="1"/>
  <c r="D77" i="49"/>
  <c r="E75" i="49"/>
  <c r="D101" i="49" s="1"/>
  <c r="F66" i="59" l="1"/>
  <c r="G67" i="59"/>
  <c r="F66" i="52"/>
  <c r="E68" i="52"/>
  <c r="D66" i="52"/>
  <c r="D68" i="52"/>
  <c r="E65" i="52"/>
  <c r="E66" i="52"/>
  <c r="D69" i="52"/>
  <c r="F65" i="52"/>
  <c r="D65" i="52"/>
  <c r="E69" i="52"/>
  <c r="F69" i="52"/>
  <c r="F68" i="52"/>
  <c r="F65" i="59" l="1"/>
  <c r="G66" i="59"/>
  <c r="E107" i="49"/>
  <c r="D77" i="48"/>
  <c r="F59" i="48"/>
  <c r="F60" i="48"/>
  <c r="F61" i="48"/>
  <c r="F62" i="48"/>
  <c r="F63" i="48"/>
  <c r="F64" i="48"/>
  <c r="F65" i="48"/>
  <c r="F66" i="48"/>
  <c r="F67" i="48"/>
  <c r="F68" i="48"/>
  <c r="F69" i="48"/>
  <c r="F70" i="48"/>
  <c r="F71" i="48"/>
  <c r="F72" i="48"/>
  <c r="F73" i="48"/>
  <c r="F74" i="48"/>
  <c r="F75" i="48"/>
  <c r="F76" i="48"/>
  <c r="F64" i="59" l="1"/>
  <c r="G65" i="59"/>
  <c r="E77" i="48"/>
  <c r="F57" i="48"/>
  <c r="F77" i="48" s="1"/>
  <c r="F63" i="59" l="1"/>
  <c r="G64" i="59"/>
  <c r="G63" i="59" l="1"/>
  <c r="F61" i="59" l="1"/>
  <c r="G62" i="59"/>
  <c r="F60" i="59" l="1"/>
  <c r="G61" i="59"/>
  <c r="F59" i="59" l="1"/>
  <c r="G59" i="59" s="1"/>
  <c r="G60" i="59"/>
  <c r="G59" i="60" l="1"/>
  <c r="G58" i="60" l="1"/>
  <c r="H59" i="60"/>
  <c r="G57" i="60" l="1"/>
  <c r="H58" i="60"/>
  <c r="F91" i="60" s="1"/>
  <c r="C91" i="60" l="1"/>
  <c r="G56" i="60"/>
  <c r="H57" i="60"/>
  <c r="G55" i="60" l="1"/>
  <c r="H56" i="60"/>
  <c r="G54" i="60" l="1"/>
  <c r="H55" i="60"/>
  <c r="G53" i="60" l="1"/>
  <c r="H54" i="60"/>
  <c r="G52" i="60" l="1"/>
  <c r="H52" i="60" s="1"/>
  <c r="H53" i="60"/>
</calcChain>
</file>

<file path=xl/sharedStrings.xml><?xml version="1.0" encoding="utf-8"?>
<sst xmlns="http://schemas.openxmlformats.org/spreadsheetml/2006/main" count="725" uniqueCount="472">
  <si>
    <t>a.</t>
  </si>
  <si>
    <t>b.</t>
  </si>
  <si>
    <t>c.</t>
  </si>
  <si>
    <t>Solution</t>
  </si>
  <si>
    <t>Total</t>
  </si>
  <si>
    <t>Discussion</t>
  </si>
  <si>
    <t>Recipe</t>
  </si>
  <si>
    <t>d.</t>
  </si>
  <si>
    <t>Problem</t>
  </si>
  <si>
    <t>e.</t>
  </si>
  <si>
    <t>Find X and Y.</t>
  </si>
  <si>
    <t>Loss</t>
  </si>
  <si>
    <t>r =</t>
  </si>
  <si>
    <t>Quintile</t>
  </si>
  <si>
    <t>Fisher - 1</t>
  </si>
  <si>
    <t>An insurer is using a split loss plan to determine an experience modification factor for a risk.  The following</t>
  </si>
  <si>
    <t>information is given:</t>
  </si>
  <si>
    <t>Single loss split:</t>
  </si>
  <si>
    <t>Minimum adjustment:</t>
  </si>
  <si>
    <t>Maximum adjustment:</t>
  </si>
  <si>
    <t>Expected Loss:</t>
  </si>
  <si>
    <t>The credibility of each layer is determined by the following:</t>
  </si>
  <si>
    <t>Primary layer:</t>
  </si>
  <si>
    <t>Excess layer:</t>
  </si>
  <si>
    <t>The insured's loss history is as follows:</t>
  </si>
  <si>
    <t>Claim</t>
  </si>
  <si>
    <t>Incurred Loss ($,000)</t>
  </si>
  <si>
    <t xml:space="preserve">Claim </t>
  </si>
  <si>
    <t>Expected Loss (primary layer):</t>
  </si>
  <si>
    <t>Expected Loss (excess layer):</t>
  </si>
  <si>
    <t>Calculate the experience modification factor for the insured.</t>
  </si>
  <si>
    <t>Primary Layer</t>
  </si>
  <si>
    <t>Excess Layer</t>
  </si>
  <si>
    <t>We use the formula for the split plan experience mod (Fisher, pp 8):</t>
  </si>
  <si>
    <t>Maximum Single Loss (MSL):</t>
  </si>
  <si>
    <t>We want to split the losses into the primary and excess layers using the given split limit.  Remember to cap losses</t>
  </si>
  <si>
    <t>at the MSL:</t>
  </si>
  <si>
    <t>Mod =</t>
  </si>
  <si>
    <t>Is the insured considered a good or bad risk, based on the answer in part (a)?  Explain.</t>
  </si>
  <si>
    <r>
      <t xml:space="preserve">This is a trick question, as the experience modification indicates only the risk's expected loss </t>
    </r>
    <r>
      <rPr>
        <b/>
        <sz val="12"/>
        <color theme="1"/>
        <rFont val="Calibri"/>
        <family val="2"/>
      </rPr>
      <t>relative to other risks</t>
    </r>
  </si>
  <si>
    <t>Fisher - Split Plan</t>
  </si>
  <si>
    <t>Since this is between the minimum and maximum limits for adjustment, the mod is 1.369.</t>
  </si>
  <si>
    <t>experience rating:</t>
  </si>
  <si>
    <t>1. Greater risk equity -- charging a rate that is more aligned with expected losses.  This increases fairness.</t>
  </si>
  <si>
    <t>2. Increased incentive for safety -- not applicable to this particular question, but perhaps the insured in the above</t>
  </si>
  <si>
    <t>should consider beefing up its safety.  Doing so should improve experience, and relieve the modification factor.</t>
  </si>
  <si>
    <t>3. Enhances market competition -- if no experience rating mechanism was in place, this risk would be considered</t>
  </si>
  <si>
    <t>undesirable, and unlikely to be written.  By being able to charge a fair premium for the risk, it is likely multiple</t>
  </si>
  <si>
    <t>insurers could offer their services.</t>
  </si>
  <si>
    <t>Fisher - 2</t>
  </si>
  <si>
    <t>Two rating plans are being evaluated for use in the near future.  The following 15 risks are used in the evaluation:</t>
  </si>
  <si>
    <t>Risk</t>
  </si>
  <si>
    <t>Manual Loss Ratio</t>
  </si>
  <si>
    <t>Plan A Experience Mod</t>
  </si>
  <si>
    <t>Plan B Experience Mod</t>
  </si>
  <si>
    <t>Fully defend which rating plan should be used given the information above.</t>
  </si>
  <si>
    <t>The risks are all of equal size.</t>
  </si>
  <si>
    <t>We will perform the Quintiles Test and Efficiency Test to fully defend our selection.</t>
  </si>
  <si>
    <t>For each you will need to sort the risks by experience mod and find the standard loss ratio for each risk.  For Plan A:</t>
  </si>
  <si>
    <t>Standard Loss Ratio</t>
  </si>
  <si>
    <t>For Plan B:</t>
  </si>
  <si>
    <t>We now can average each risk in the quintile (since they are of the same size) to find the following for each plan:</t>
  </si>
  <si>
    <t>Plan A:</t>
  </si>
  <si>
    <t>Average Mod</t>
  </si>
  <si>
    <t>Plan B:</t>
  </si>
  <si>
    <t>Fisher - 3</t>
  </si>
  <si>
    <t>A simple experience rating plan is created using Bühlmann credibility used to price an insured:</t>
  </si>
  <si>
    <t>Expected value of the process variance:</t>
  </si>
  <si>
    <t>Variance of the hypothetical mean:</t>
  </si>
  <si>
    <t>Some other information about the insured:</t>
  </si>
  <si>
    <t>The insured implemented a safety program two years ago.</t>
  </si>
  <si>
    <t>Employee retention was very low in the latest year.</t>
  </si>
  <si>
    <t>Equipment was replaced with top-of-the-line five years ago.</t>
  </si>
  <si>
    <t>List the three characteristics of a credibility factor Z as noted in the Fisher paper.</t>
  </si>
  <si>
    <t xml:space="preserve">The formula for standard premium is </t>
  </si>
  <si>
    <t>Below is the loss history, adjusted for the MSL:</t>
  </si>
  <si>
    <t>Adjusted Loss</t>
  </si>
  <si>
    <t>To get the experience mod using Bühlmann credibility, we use the formulas:</t>
  </si>
  <si>
    <t>K =</t>
  </si>
  <si>
    <t>&lt;-- Remember to cap the factor given the constraints above!</t>
  </si>
  <si>
    <t>For the schedule rating factor:</t>
  </si>
  <si>
    <t>Risk Characteristic</t>
  </si>
  <si>
    <t xml:space="preserve">Selected 
(Credit) or Debit
</t>
  </si>
  <si>
    <t>Safety program</t>
  </si>
  <si>
    <t>Employees</t>
  </si>
  <si>
    <t>Equipment</t>
  </si>
  <si>
    <t>The safety program was implemented in the middle of the experience period, so I give partial credit.</t>
  </si>
  <si>
    <t>Low employee retention means a lot of new employees that may be unfamiliar with the procedures, which is not good.</t>
  </si>
  <si>
    <t>The equipment was upgraded before the experience period, so no credit is given.</t>
  </si>
  <si>
    <t>Premium =</t>
  </si>
  <si>
    <t>Find the ratio of standard premium to manual premium.</t>
  </si>
  <si>
    <t>Ratio =</t>
  </si>
  <si>
    <t>From page 5 of Fisher:</t>
  </si>
  <si>
    <r>
      <t xml:space="preserve">in its class </t>
    </r>
    <r>
      <rPr>
        <sz val="12"/>
        <color theme="1"/>
        <rFont val="Calibri"/>
        <family val="2"/>
      </rPr>
      <t>(Fisher, pp. 3).  There is no such thing as a good or bad risk.  The risk has a debit mod, which means</t>
    </r>
  </si>
  <si>
    <t>that the insured's experience is worse than average for its class.</t>
  </si>
  <si>
    <t>2. dZ / dE ≥ 0.  This means Z does not decrease as the size of the risk increases.</t>
  </si>
  <si>
    <t>3. d / dE (Z / E) &lt; 0.  This means that as the size of a risk increases, the ratio of Z to E decreases.</t>
  </si>
  <si>
    <t>The schedule mod is subjective, as it is meant to be.  On an exam, the key is to not have experience mods and schedule mods</t>
  </si>
  <si>
    <t>to overlap.</t>
  </si>
  <si>
    <t>Fisher - No-Split Plan</t>
  </si>
  <si>
    <t>ISO - Schedule Rating</t>
  </si>
  <si>
    <t>Also, be sure to include the constraints on the experience mod.  If the MAX/MIN pieces of the formula get confusing, it would be fine</t>
  </si>
  <si>
    <t>subsequent parts.</t>
  </si>
  <si>
    <t>on an exam to get the uncapped number (1.95, FYI) and note that it should be capped.  Just be sure to use the capped number in any</t>
  </si>
  <si>
    <t>Fisher - 4</t>
  </si>
  <si>
    <t>Two risks of equal size are being considered by an insurer who currently does not use experience rating or</t>
  </si>
  <si>
    <t>schedule rating in its decisions.  The risks are in the same class.</t>
  </si>
  <si>
    <t>The insurer is considering adopting an experience rating plan with the following information:</t>
  </si>
  <si>
    <t>Expected Loss for each risk:</t>
  </si>
  <si>
    <t>The following are estimates for risks of the same size and industry as the insured:</t>
  </si>
  <si>
    <t>Some other information about the risks:</t>
  </si>
  <si>
    <t>Premises</t>
  </si>
  <si>
    <t>Characteristic</t>
  </si>
  <si>
    <t>Risk A</t>
  </si>
  <si>
    <t>Risk B</t>
  </si>
  <si>
    <t>The risks' loss history is as follows:</t>
  </si>
  <si>
    <t>Risk A:</t>
  </si>
  <si>
    <t>Risk B:</t>
  </si>
  <si>
    <t>Which is the more desirable risk if the insurer adopts the experience rating plan?</t>
  </si>
  <si>
    <t>Which is the more desirable risk if the insurer begins to use schedule rating?</t>
  </si>
  <si>
    <t>Which is the less desirable risk under the current plan?</t>
  </si>
  <si>
    <t>This can be a bit subjective, as you could choose risk A due to it having the two largest losses.  However, risk B has the</t>
  </si>
  <si>
    <t>No math here!  In the world of trick questions, this topic is well seasoned.  The point of an experience rating plan is</t>
  </si>
  <si>
    <t>that the risks will be equally desirable since we are charging premium commensurate with risk.  If you do all the math</t>
  </si>
  <si>
    <t>to get the modification factor, I suppose that is fine, since you'll need it for part (d).  However, do not make the</t>
  </si>
  <si>
    <t>mistake that lower mod means more desirable!</t>
  </si>
  <si>
    <t>Again, the addition of schedule rating attempts to adjust for those things not found in the experience mod, so on its</t>
  </si>
  <si>
    <t>surface, there is no more or less desirable risk once schedule rating is added.  Just like the experience mod, we are</t>
  </si>
  <si>
    <t>attempting to more accurately reflect the risk in the price.  If we can do that, both risks are equally desirable.</t>
  </si>
  <si>
    <r>
      <t>Mod</t>
    </r>
    <r>
      <rPr>
        <b/>
        <vertAlign val="subscript"/>
        <sz val="12"/>
        <color theme="1"/>
        <rFont val="Calibri"/>
        <family val="2"/>
      </rPr>
      <t>A</t>
    </r>
    <r>
      <rPr>
        <b/>
        <sz val="12"/>
        <color theme="1"/>
        <rFont val="Calibri"/>
        <family val="2"/>
      </rPr>
      <t xml:space="preserve"> =</t>
    </r>
  </si>
  <si>
    <r>
      <t>Mod</t>
    </r>
    <r>
      <rPr>
        <b/>
        <vertAlign val="subscript"/>
        <sz val="12"/>
        <color theme="1"/>
        <rFont val="Calibri"/>
        <family val="2"/>
      </rPr>
      <t>B</t>
    </r>
    <r>
      <rPr>
        <b/>
        <sz val="12"/>
        <color theme="1"/>
        <rFont val="Calibri"/>
        <family val="2"/>
      </rPr>
      <t xml:space="preserve"> =</t>
    </r>
  </si>
  <si>
    <t>The ratio of standard premium to manual premium is simply (Mod) * (1 + Schedule Rating)</t>
  </si>
  <si>
    <t>Which risk will be charged more premium after experience modification and schedule rating?</t>
  </si>
  <si>
    <t>Premises are on opposite ends of the spectrum.  Full debit for A, full credit for B.</t>
  </si>
  <si>
    <t>Equipment is brand new for A - full credit.  B has relatively new equipment, but it was five years ago - no credit.</t>
  </si>
  <si>
    <t>High turnover puts risk A at, well, risk, for increased losses.  Risk B has much greater experience.</t>
  </si>
  <si>
    <t>Notice we are not given specific manual premium, but we are told that risks are the same size.  It will therefore</t>
  </si>
  <si>
    <t>come down to which risk has the higher Mod * (1 + Schedule Rating) factor.</t>
  </si>
  <si>
    <r>
      <t>Factor</t>
    </r>
    <r>
      <rPr>
        <b/>
        <vertAlign val="subscript"/>
        <sz val="12"/>
        <color theme="1"/>
        <rFont val="Calibri"/>
        <family val="2"/>
      </rPr>
      <t>A</t>
    </r>
    <r>
      <rPr>
        <b/>
        <sz val="12"/>
        <color theme="1"/>
        <rFont val="Calibri"/>
        <family val="2"/>
      </rPr>
      <t xml:space="preserve"> =</t>
    </r>
  </si>
  <si>
    <r>
      <t>Factor</t>
    </r>
    <r>
      <rPr>
        <b/>
        <vertAlign val="subscript"/>
        <sz val="12"/>
        <color theme="1"/>
        <rFont val="Calibri"/>
        <family val="2"/>
      </rPr>
      <t>B</t>
    </r>
    <r>
      <rPr>
        <b/>
        <sz val="12"/>
        <color theme="1"/>
        <rFont val="Calibri"/>
        <family val="2"/>
      </rPr>
      <t xml:space="preserve"> =</t>
    </r>
  </si>
  <si>
    <t>Risk A will be charged more premium after taking into account experience rating and schedule rating.</t>
  </si>
  <si>
    <t>This problem is another good reminder about the objectives of experience rating (and schedule rating).  The idea is to make</t>
  </si>
  <si>
    <t>them equally desirable risks to write.  This happens only if we can accurately (to the best of our abilities) charge a premium</t>
  </si>
  <si>
    <t>commensurate with risk.</t>
  </si>
  <si>
    <t>The core goal of this question is to not look at past loss experience in a silo.  We need to connect it to how predictive (or</t>
  </si>
  <si>
    <t>not predictive) it is of future losses.</t>
  </si>
  <si>
    <t>It is not surprising that the experience mod for B is higher given its higher loss amount (even after capping).  However, the</t>
  </si>
  <si>
    <t>application of the schedule rating factor takes into account the fact that B is "changing its ways" in an attempt to limit losses.</t>
  </si>
  <si>
    <t>This reflection (while subjective) paints B in a much better light than A, and actually overcomes the modification due to</t>
  </si>
  <si>
    <t>loss experience only.</t>
  </si>
  <si>
    <t>The distinct (and identical) upward trend in manual loss ratios shows that each plan correctly identifies differences</t>
  </si>
  <si>
    <t>in risks.</t>
  </si>
  <si>
    <t>Plan A has slightly more range between its highest and lowest average mods.</t>
  </si>
  <si>
    <t>Plan A has no discernable trend in its standard loss ratio.  Plan B's standard loss ratio shows a positive, albeit small,</t>
  </si>
  <si>
    <t>increasing trend.</t>
  </si>
  <si>
    <t>Since we are asked to fully defend, we can put the argument to bed by using the efficiency test:</t>
  </si>
  <si>
    <t>Plan A</t>
  </si>
  <si>
    <t>Plan B</t>
  </si>
  <si>
    <t>Sample Variance</t>
  </si>
  <si>
    <t>Efficiency Test Statistic</t>
  </si>
  <si>
    <t>Unsurpisingly, Plan A has the lower efficiency statistic.</t>
  </si>
  <si>
    <t>The question asks us to fully defend, and the efficiency test is yet another check mark in favor of plan A.</t>
  </si>
  <si>
    <t>Note that, for plan B, there is a slightly positive trend in the standard loss ratios.  This means that not enough credit is</t>
  </si>
  <si>
    <t>given to better than average risks.  Conversely, worse than average risks are not being debited enough.  If both were</t>
  </si>
  <si>
    <t>happening, standard loss ratios would be (roughly) even across quintiles.</t>
  </si>
  <si>
    <r>
      <t xml:space="preserve">This means that </t>
    </r>
    <r>
      <rPr>
        <i/>
        <sz val="12"/>
        <color theme="1"/>
        <rFont val="Calibri"/>
        <family val="2"/>
      </rPr>
      <t xml:space="preserve">not enough credibility </t>
    </r>
    <r>
      <rPr>
        <sz val="12"/>
        <color theme="1"/>
        <rFont val="Calibri"/>
        <family val="2"/>
      </rPr>
      <t>is being given to past experience.  By increasing credibility, the standard premium would</t>
    </r>
  </si>
  <si>
    <t>for worse than average risks, resulting in a decreasing standard loss rato.  This would wipe away any trend that we see.</t>
  </si>
  <si>
    <t>Fisher - Evaluating Rating Plans</t>
  </si>
  <si>
    <t>Again, the formula for standard premium is:</t>
  </si>
  <si>
    <t>Manual Premium</t>
  </si>
  <si>
    <t>Mod</t>
  </si>
  <si>
    <t>Fully evaluate the rating plan.</t>
  </si>
  <si>
    <t>Give three advantages of experience rating.</t>
  </si>
  <si>
    <t>Fisher - 5</t>
  </si>
  <si>
    <t>Looking at each quintile:</t>
  </si>
  <si>
    <t>To evaluate the plan, we note the following:</t>
  </si>
  <si>
    <t>Positives: The manual loss ratios show a positive upward trend, so the plan identifies differences in risks.</t>
  </si>
  <si>
    <t>An experience rating plan is being used for twenty risks below:</t>
  </si>
  <si>
    <t>Negatives: The standard loss ratios show a distinct downward trend.  This means that too much credibility is</t>
  </si>
  <si>
    <t>risks with better than average loss experience are not being charged enough.</t>
  </si>
  <si>
    <t>being given to past experience.  Risks with worse than average loss experience are being charged too much and</t>
  </si>
  <si>
    <t>In a perfect experience rating plan, the following would occur:</t>
  </si>
  <si>
    <t>Manual LR</t>
  </si>
  <si>
    <t>Standard LR</t>
  </si>
  <si>
    <t>flatter the line, the less dispersion there is among risks.</t>
  </si>
  <si>
    <t>The standard loss ratio line (graph 2): Ideally, there is no slope here.  No matter the mod, the standard loss ratio is</t>
  </si>
  <si>
    <t>identical across risks.  This is of course the ideal scenario.  In reality, we are hoping to see a non-discernable trend</t>
  </si>
  <si>
    <t>(i.e no slope, or points around a flat line) in the standard loss ratios.</t>
  </si>
  <si>
    <t>Fisher - 6</t>
  </si>
  <si>
    <t>premium.  Adjustments are made six months after the policy expires, and will continue every 12 months</t>
  </si>
  <si>
    <t>thereafter.</t>
  </si>
  <si>
    <t>Information about the plan is below:</t>
  </si>
  <si>
    <t>Basic Premium:</t>
  </si>
  <si>
    <r>
      <rPr>
        <i/>
        <sz val="12"/>
        <color theme="1"/>
        <rFont val="Calibri"/>
        <family val="2"/>
      </rPr>
      <t>c</t>
    </r>
    <r>
      <rPr>
        <sz val="12"/>
        <color theme="1"/>
        <rFont val="Calibri"/>
        <family val="2"/>
      </rPr>
      <t>:</t>
    </r>
  </si>
  <si>
    <t>Per-occurrence ratable limit:</t>
  </si>
  <si>
    <t>Aggregate ratable limit:</t>
  </si>
  <si>
    <t>During the policy period, the insured incurs ten claims.  Below are the incurred amounts at various dates:</t>
  </si>
  <si>
    <t>Incurred Loss as of</t>
  </si>
  <si>
    <t>The following age-to-age factors are given below, in months:</t>
  </si>
  <si>
    <t>6 to 12</t>
  </si>
  <si>
    <t>12 to 18</t>
  </si>
  <si>
    <t>18 to 24</t>
  </si>
  <si>
    <t>24 to 30</t>
  </si>
  <si>
    <t>30 to 36</t>
  </si>
  <si>
    <t>36 to 42</t>
  </si>
  <si>
    <t>No development is expected after 42 months.</t>
  </si>
  <si>
    <t>Calculate the retrospective premium after the first adjustment.</t>
  </si>
  <si>
    <t>Calculate the retrospective premium after the second adjustment.</t>
  </si>
  <si>
    <t>To get the rateable losses, we need to cap at both the per-occurrence and aggregate limit, where applicable.</t>
  </si>
  <si>
    <r>
      <t xml:space="preserve">This question also mentions that </t>
    </r>
    <r>
      <rPr>
        <i/>
        <sz val="12"/>
        <color theme="1"/>
        <rFont val="Calibri"/>
        <family val="2"/>
      </rPr>
      <t>ultimate</t>
    </r>
    <r>
      <rPr>
        <sz val="12"/>
        <color theme="1"/>
        <rFont val="Calibri"/>
        <family val="2"/>
      </rPr>
      <t xml:space="preserve"> losses are used to calculate the premium.  The factors given need to</t>
    </r>
  </si>
  <si>
    <t>be converted to ultimate factors:</t>
  </si>
  <si>
    <t>6 to Ult</t>
  </si>
  <si>
    <t>12 to Ult</t>
  </si>
  <si>
    <t>18 to Ult</t>
  </si>
  <si>
    <t>24 to Ult</t>
  </si>
  <si>
    <t>30 to Ult</t>
  </si>
  <si>
    <t>36 to Ult</t>
  </si>
  <si>
    <t>The first adjustment is made at 18 months (1/1/21), so we multiply each loss by 1.309 and then cap:</t>
  </si>
  <si>
    <t>We repeat the process for the evaluation at 1/1/22:</t>
  </si>
  <si>
    <t>The premium paid is not subject to taxes.</t>
  </si>
  <si>
    <t>Name two advantages and two disadvantages of a loss-sensitive rating plan to the insured.</t>
  </si>
  <si>
    <t>Advantages:</t>
  </si>
  <si>
    <t xml:space="preserve"> - An incentive for loss control, which affects direct and indirect costs.</t>
  </si>
  <si>
    <t xml:space="preserve"> - Immediate reflection of good experience</t>
  </si>
  <si>
    <t xml:space="preserve"> - Cash flow benefits</t>
  </si>
  <si>
    <t xml:space="preserve"> - Possible reduction in premium-based taxes and assessments</t>
  </si>
  <si>
    <t>Disadvantages:</t>
  </si>
  <si>
    <t xml:space="preserve"> - Uncertain costs</t>
  </si>
  <si>
    <t xml:space="preserve"> - Loss of immediate tax deductibility of full guaranteed cost premium</t>
  </si>
  <si>
    <t xml:space="preserve"> - Immediate reflection of bad experience</t>
  </si>
  <si>
    <t xml:space="preserve"> - Impact on future financial statements</t>
  </si>
  <si>
    <t xml:space="preserve"> - Ongoing administrative costs</t>
  </si>
  <si>
    <t xml:space="preserve"> - Need to post security as collateral</t>
  </si>
  <si>
    <t xml:space="preserve"> - Added complexity</t>
  </si>
  <si>
    <t>credit risk.  Be sure to read the question throughly.</t>
  </si>
  <si>
    <t>After that, the process is similar to many other deductible/limit questions, where you will need to apply applicable limits.</t>
  </si>
  <si>
    <t>If taxes are included, remember to multiply the (B + cL) term by T.  T is a tax multiplier and not the tax rate, so we divide by</t>
  </si>
  <si>
    <t>(1 - tax rate).</t>
  </si>
  <si>
    <t>Fisher - 7</t>
  </si>
  <si>
    <t>A 1-year retrospective rating plan is created effective July 1, 2019.  Ultimate losses are used to calculate the</t>
  </si>
  <si>
    <t>From Fisher, page 16 (pick two of each):</t>
  </si>
  <si>
    <t>What is included in the basic premium?</t>
  </si>
  <si>
    <t>A 1-year retrospective rating plan is created effective April 1, 2018.  Incurred losses are used to calculate the</t>
  </si>
  <si>
    <t>The first adjustment is made 6 months (10/1/19) after policy expiration:</t>
  </si>
  <si>
    <t>Commission:</t>
  </si>
  <si>
    <t>Premium tax rate:</t>
  </si>
  <si>
    <t>Remember that the premium for the policy is</t>
  </si>
  <si>
    <t>where</t>
  </si>
  <si>
    <t>To solve for B, rearrange the terms of the formula:</t>
  </si>
  <si>
    <t>T =</t>
  </si>
  <si>
    <t>B =</t>
  </si>
  <si>
    <t>The basic premium does not change between evaluations, so B = 255,000.</t>
  </si>
  <si>
    <t>From Fisher, page 17: basic premium reflects fixed charges such as:</t>
  </si>
  <si>
    <t xml:space="preserve"> - Underwriting expenses</t>
  </si>
  <si>
    <t xml:space="preserve"> - Commission (if fixed)</t>
  </si>
  <si>
    <t xml:space="preserve"> - Expected per-occurrence losses, if losses are subject to a per-occurrence loss limit</t>
  </si>
  <si>
    <t xml:space="preserve"> - Expected aggregate losses, if losses influencing premium are subject to a maximum ratable loss amount</t>
  </si>
  <si>
    <t>(insurance charge)</t>
  </si>
  <si>
    <t xml:space="preserve"> - A credit if losses influencing premium are subject to a minimum ratable loss amount (insurance savings)</t>
  </si>
  <si>
    <t xml:space="preserve"> - Underwriting profit provision</t>
  </si>
  <si>
    <t>This problem's only twist is that it solves for basic premium, rather than the normal questions that solve for standard premium.</t>
  </si>
  <si>
    <t>Fisher - Retro Premium</t>
  </si>
  <si>
    <t>Fisher - 8</t>
  </si>
  <si>
    <t>GL Policy</t>
  </si>
  <si>
    <t>Property Policy</t>
  </si>
  <si>
    <t>Deductible:</t>
  </si>
  <si>
    <t>Policy limit:</t>
  </si>
  <si>
    <t>Retention limit:</t>
  </si>
  <si>
    <t>Risk A chooses a large-deductible (LDD) plan for each policy with the following features:</t>
  </si>
  <si>
    <t>Risk B chooses a self-insured retention (SIR) for each policy with the following features:</t>
  </si>
  <si>
    <t>Determine the difference in the amount of loss paid by an insurer for risks A and B.</t>
  </si>
  <si>
    <r>
      <t xml:space="preserve">Let us compare risks A and B.  Remember that the insurer would pay the losses </t>
    </r>
    <r>
      <rPr>
        <i/>
        <sz val="12"/>
        <color theme="1"/>
        <rFont val="Calibri"/>
        <family val="2"/>
      </rPr>
      <t>between the deductible and the policy</t>
    </r>
  </si>
  <si>
    <t>Define credit risk and explain how it applies to an insurer for each of the risks in this problem.</t>
  </si>
  <si>
    <r>
      <t xml:space="preserve">For an SIR, the insurer pays (up to the limit) </t>
    </r>
    <r>
      <rPr>
        <i/>
        <sz val="12"/>
        <color theme="1"/>
        <rFont val="Calibri"/>
        <family val="2"/>
      </rPr>
      <t>all losses exceeding the deductible</t>
    </r>
    <r>
      <rPr>
        <sz val="12"/>
        <color theme="1"/>
        <rFont val="Calibri"/>
        <family val="2"/>
      </rPr>
      <t>.  For Risk B:</t>
    </r>
  </si>
  <si>
    <r>
      <t>limit</t>
    </r>
    <r>
      <rPr>
        <sz val="12"/>
        <color theme="1"/>
        <rFont val="Calibri"/>
        <family val="2"/>
      </rPr>
      <t xml:space="preserve"> for an LDD policy.  For Risk A:</t>
    </r>
  </si>
  <si>
    <t>Total =</t>
  </si>
  <si>
    <t>The insurer pays $900,000 more to Risk B.</t>
  </si>
  <si>
    <t>Property Incurred Loss ($,000)</t>
  </si>
  <si>
    <t>GL Incurred Loss ($,000)</t>
  </si>
  <si>
    <t>Determine the difference in the ratable losses for risks C and D.</t>
  </si>
  <si>
    <t>Risks C and D both select retrospective rating plans for each policy with the following information:</t>
  </si>
  <si>
    <t>For clash coverage and basket aggregate coverage, we look at the policies together after adjusting for maximum limits:</t>
  </si>
  <si>
    <t>Risk C:</t>
  </si>
  <si>
    <t>&lt;-- Risk C's total ratable losses</t>
  </si>
  <si>
    <t>basket coverage are the same as Risk C's ratable losses before the application of the clash coverage.</t>
  </si>
  <si>
    <t>Risk D ratable losses =</t>
  </si>
  <si>
    <t>Risk C also purchases clash coverage with a clash deductible of $750,000.</t>
  </si>
  <si>
    <t>Risk D purchases basket aggregate coverage with basket aggregate $6,500,000.</t>
  </si>
  <si>
    <t>Risk D has 65,000 more of ratable loss than Risk C</t>
  </si>
  <si>
    <t>Credit risk is the risk of not being able to collect from the insured, whether in the form of additional premium</t>
  </si>
  <si>
    <t>payments after adjustments or deductible reimbursements.</t>
  </si>
  <si>
    <t>For LDD plans, the insurer pays for all claims up front and bill the insured for deductible reimbursement.  The</t>
  </si>
  <si>
    <t>insurer risks the insured being unable (or possibly unwilling) to reimburse the deductible.</t>
  </si>
  <si>
    <t>For SIR, the insurer is not responsible for claims until after they have been paid by the insured.  Therefore, there</t>
  </si>
  <si>
    <t>is no questionable cash flow potential to the insurer.</t>
  </si>
  <si>
    <t>Both C and D are retrospectively rated, so the credit risk comes in the form of premium adjustments.  If the</t>
  </si>
  <si>
    <t>ratable losses increase between adjustments, the insurer will need to bill the insured.  Again, any inability</t>
  </si>
  <si>
    <t>(or unwillingness) to pay the difference is a risk the insurer takes on.</t>
  </si>
  <si>
    <t>Fisher - 9</t>
  </si>
  <si>
    <t>You are given the following aggregate loss data for identical risks within a group:</t>
  </si>
  <si>
    <t># of Risks</t>
  </si>
  <si>
    <t>Annual Claim Total ($,000)</t>
  </si>
  <si>
    <t>Expected excess loss above $15,000.</t>
  </si>
  <si>
    <t>Expected shortfall losses below $6,000.</t>
  </si>
  <si>
    <t>Entry ratio at a loss level of $10,000.</t>
  </si>
  <si>
    <t>Calculate the following for parts a - c:</t>
  </si>
  <si>
    <t>Build a table M for the above data.</t>
  </si>
  <si>
    <t>The expected excess loss above $15,000 is the probability-weighted excess loss from the distribution above:</t>
  </si>
  <si>
    <t>% of total risks</t>
  </si>
  <si>
    <t>Loss above $15,000</t>
  </si>
  <si>
    <t>Expected excess loss above $15,000 =</t>
  </si>
  <si>
    <t>Expected shortfall losses are calculated in a similar fashion, limiting loss at $6,000.</t>
  </si>
  <si>
    <t>Loss  below $6,000</t>
  </si>
  <si>
    <t>The entry ratio at any amount is the loss size divided by the expected aggregate (average) loss:</t>
  </si>
  <si>
    <r>
      <t>r</t>
    </r>
    <r>
      <rPr>
        <b/>
        <vertAlign val="subscript"/>
        <sz val="12"/>
        <color theme="1"/>
        <rFont val="Calibri"/>
        <family val="2"/>
        <scheme val="minor"/>
      </rPr>
      <t>$10,000</t>
    </r>
    <r>
      <rPr>
        <b/>
        <sz val="12"/>
        <color theme="1"/>
        <rFont val="Calibri"/>
        <family val="2"/>
        <scheme val="minor"/>
      </rPr>
      <t xml:space="preserve"> =</t>
    </r>
  </si>
  <si>
    <t>E[A] =</t>
  </si>
  <si>
    <t>Entry ratio</t>
  </si>
  <si>
    <t>(1)</t>
  </si>
  <si>
    <t>(2)</t>
  </si>
  <si>
    <t>(3)</t>
  </si>
  <si>
    <t>(4)</t>
  </si>
  <si>
    <t>(5)</t>
  </si>
  <si>
    <t>(6)</t>
  </si>
  <si>
    <t># of Risks greater</t>
  </si>
  <si>
    <t>% of Risks greater</t>
  </si>
  <si>
    <t>Calculate the Table M savings at a loss size of $7,500.</t>
  </si>
  <si>
    <t>Part d is the main part of this problem: creating a Table M.  Remember that when creating a Table M, you remember the</t>
  </si>
  <si>
    <t>following:</t>
  </si>
  <si>
    <t>φ (0) =</t>
  </si>
  <si>
    <t>φ (max loss) =</t>
  </si>
  <si>
    <t>Both are intuitive.  The charge for losses in excess of zero should be 1 (or 100%).  Since there are no losses above the max</t>
  </si>
  <si>
    <t>loss, there is no charge above that loss size.  It also follows that the savings at zero is zero.</t>
  </si>
  <si>
    <t>Fisher - Table M Construction</t>
  </si>
  <si>
    <t>Fisher - 10</t>
  </si>
  <si>
    <t>Below is the claim distribution for ten risks with similar expected number of claims:</t>
  </si>
  <si>
    <t>Number of claims for each size ($,000)</t>
  </si>
  <si>
    <t>Aggregate Deductible Limit:</t>
  </si>
  <si>
    <t>Unlimited Aggregate Loss ($,000)</t>
  </si>
  <si>
    <t>Average</t>
  </si>
  <si>
    <t>increments of 0.25.</t>
  </si>
  <si>
    <t>Aggregate Limited Loss ($,000)</t>
  </si>
  <si>
    <t>occurrence limit:</t>
  </si>
  <si>
    <t>We can create the unlimited and limited aggregate losses for each risk, and calculate the excess ratio for the per-</t>
  </si>
  <si>
    <t>Construct a Table L of insurance charges and savings for a $250,000 per-occurrence limit from 0 to 1.5 in</t>
  </si>
  <si>
    <t>k =</t>
  </si>
  <si>
    <t>We now calculate the entry ratios for Table L:</t>
  </si>
  <si>
    <t>Sorted:</t>
  </si>
  <si>
    <t>We can now construct our Table L:</t>
  </si>
  <si>
    <t>Entry Ratio</t>
  </si>
  <si>
    <t># Risks</t>
  </si>
  <si>
    <t># Risks Above</t>
  </si>
  <si>
    <t>% Risks Above</t>
  </si>
  <si>
    <t>&lt;-- Only</t>
  </si>
  <si>
    <t>need one</t>
  </si>
  <si>
    <r>
      <t xml:space="preserve">         ^-- remember that φ</t>
    </r>
    <r>
      <rPr>
        <vertAlign val="subscript"/>
        <sz val="12"/>
        <color theme="1"/>
        <rFont val="Calibri"/>
        <family val="2"/>
      </rPr>
      <t>D</t>
    </r>
    <r>
      <rPr>
        <sz val="12"/>
        <color theme="1"/>
        <rFont val="Calibri"/>
        <family val="2"/>
      </rPr>
      <t>* (r</t>
    </r>
    <r>
      <rPr>
        <vertAlign val="subscript"/>
        <sz val="12"/>
        <color theme="1"/>
        <rFont val="Calibri"/>
        <family val="2"/>
      </rPr>
      <t>max</t>
    </r>
    <r>
      <rPr>
        <sz val="12"/>
        <color theme="1"/>
        <rFont val="Calibri"/>
        <family val="2"/>
      </rPr>
      <t>) = k</t>
    </r>
  </si>
  <si>
    <t xml:space="preserve">A few good checks for the Table L: </t>
  </si>
  <si>
    <t>1) The charge at entry ratio 0 should always be equal to 1, as all losses will be greater than zero.</t>
  </si>
  <si>
    <t>2) The charge at the max entry ratio is k, as we have already shown that k% of losses will exceed the aggregate.</t>
  </si>
  <si>
    <t>3) The savings at entry ratio 0 should always equal zero, since again, all losses will be greater than zero.</t>
  </si>
  <si>
    <t>Numbers 1 and 3 are true for Table M construction.  For number 2 in Table M, the charge will be zero, as it does</t>
  </si>
  <si>
    <t>not contemplate a per-occurrence limit.</t>
  </si>
  <si>
    <t>Fisher - Table L</t>
  </si>
  <si>
    <t>Fisher - 11</t>
  </si>
  <si>
    <t>Construct a Table M of insurance charges and savings for entry ratios from 0 to 2.5 in multiples of 0.25 using the</t>
  </si>
  <si>
    <t>horizontal slicing method.</t>
  </si>
  <si>
    <t>Using the vertical slicing method, calculate the following:</t>
  </si>
  <si>
    <t>ii. Table M savings at entry ratio 0.8</t>
  </si>
  <si>
    <t>We can now construct the Table M.  Relevant formulas include:</t>
  </si>
  <si>
    <t>Using vertical slicing gives us the following equations:</t>
  </si>
  <si>
    <t xml:space="preserve">φ (r) </t>
  </si>
  <si>
    <t>ii. We only care about entry ratios less than 0.8 with risks in them:</t>
  </si>
  <si>
    <t>Ψ(0.8) =</t>
  </si>
  <si>
    <t>Remember that the given graph is not a loss distribution in and of itself, so do not use vertical or horizontal slices for the graph.</t>
  </si>
  <si>
    <t>We can also interpolate in part b.  The question asks for vertical slices, but the interpolation would be:</t>
  </si>
  <si>
    <t>i. Table M charge at entry ratio 1.8</t>
  </si>
  <si>
    <t>i. We only care about the entry ratios greater than 1.8 that have risks in them:</t>
  </si>
  <si>
    <t xml:space="preserve">      φ (1.8) =</t>
  </si>
  <si>
    <t>If given no direction on an exam, either method is usable.  Interpolation may be quicker.</t>
  </si>
  <si>
    <t>Fisher - 12</t>
  </si>
  <si>
    <t>The following shows the aggregate unlimited and limited losses for ten risks with similar expected number of claims</t>
  </si>
  <si>
    <t>Unlimited Aggregate Loss</t>
  </si>
  <si>
    <r>
      <t>used as the basis for Table M</t>
    </r>
    <r>
      <rPr>
        <vertAlign val="subscript"/>
        <sz val="12"/>
        <color theme="1"/>
        <rFont val="Calibri"/>
        <family val="2"/>
      </rPr>
      <t>200K</t>
    </r>
  </si>
  <si>
    <t>Aggregate Loss Limited to $200,000</t>
  </si>
  <si>
    <t>An actuary is using a limited Table M based on these risks for the pricing of a large deductible policy with the</t>
  </si>
  <si>
    <t>following parameters:</t>
  </si>
  <si>
    <r>
      <t>Calculate the Table M</t>
    </r>
    <r>
      <rPr>
        <vertAlign val="subscript"/>
        <sz val="12"/>
        <color theme="1"/>
        <rFont val="Calibri"/>
        <family val="2"/>
      </rPr>
      <t>D</t>
    </r>
    <r>
      <rPr>
        <sz val="12"/>
        <color theme="1"/>
        <rFont val="Calibri"/>
        <family val="2"/>
      </rPr>
      <t xml:space="preserve"> charge that is appropriate for the policy.</t>
    </r>
  </si>
  <si>
    <t>Calculate the expected loss cost for the policy.</t>
  </si>
  <si>
    <t>We first solve for k, since there is a deductible limit:</t>
  </si>
  <si>
    <t>We also want the entry ratio for the policy:</t>
  </si>
  <si>
    <t>Fisher - 13</t>
  </si>
  <si>
    <t>We now want to find the entry ratios for the risks given, so we can use the vertical slicing method in our Limited</t>
  </si>
  <si>
    <t>Table M to solve for the charge:</t>
  </si>
  <si>
    <t>Entry ratio = Loss / 900,000</t>
  </si>
  <si>
    <t>Our entry ratio is between risk 6 and 7.  We use the vertical slicing method to get the insurance charge:</t>
  </si>
  <si>
    <t>We calculate expected loss costs for the policy with the below formula:</t>
  </si>
  <si>
    <t>E[Loss Cost] =</t>
  </si>
  <si>
    <t>The expected loss cost is just the sum of the expected losses in excess of the per-occurrence limit and the expected</t>
  </si>
  <si>
    <t>losses in excess of the aggregate limit, hence the use of k and 1 - k.  The insurance charge should only be applied to the</t>
  </si>
  <si>
    <t>second term.</t>
  </si>
  <si>
    <t>Fisher - Limited Table M</t>
  </si>
  <si>
    <t>ratio:</t>
  </si>
  <si>
    <t>The following is the experience of 10 similarly sized risks, sorted in ascending order by unlimited aggregate loss</t>
  </si>
  <si>
    <t>Unlimited Aggregate Loss Ratio</t>
  </si>
  <si>
    <t>Aggregate Loss Ratio w/$100,000 per-occurrence limit</t>
  </si>
  <si>
    <t>Since we are missing information, a Table M using horizontal slices is not likely to be of any help, since we cannot</t>
  </si>
  <si>
    <t>guarantee that an entry ratio of 1.2 is equivalent to the loss ratio of one of our risks.  Instead, we will use vertical</t>
  </si>
  <si>
    <t>slicing:</t>
  </si>
  <si>
    <t>To get the entry ratio, we first need to find the expected aggregate loss ratio, or the average loss ratio of these</t>
  </si>
  <si>
    <t>ten risks.</t>
  </si>
  <si>
    <t>E[Agg Loss Ratio] =</t>
  </si>
  <si>
    <t>The Table M charge for entry ratio 1.6 is 0.03</t>
  </si>
  <si>
    <t>X%</t>
  </si>
  <si>
    <t>Y%</t>
  </si>
  <si>
    <t>We are told that the list is sorted, so we know X is between 50% and 65%</t>
  </si>
  <si>
    <t>If X = 50%, E[Agg Loss Ratio] =</t>
  </si>
  <si>
    <t>If X = 65%, E[Agg Loss Ratio] =</t>
  </si>
  <si>
    <t>r of 1.5 =</t>
  </si>
  <si>
    <t>Only risks 9 and 10 will have an r greater than 1.5, since they are greater than 75%</t>
  </si>
  <si>
    <t>Using the vertical slicing method we get:</t>
  </si>
  <si>
    <t>0.03 =</t>
  </si>
  <si>
    <t>[(0.82 / average LR - 1.6) + (0.93 / average LR - 1.6)] / 10</t>
  </si>
  <si>
    <t>Average LR =</t>
  </si>
  <si>
    <r>
      <t>We can work backwards to get E[A</t>
    </r>
    <r>
      <rPr>
        <vertAlign val="subscript"/>
        <sz val="12"/>
        <color theme="1"/>
        <rFont val="Calibri"/>
        <family val="2"/>
      </rPr>
      <t>D</t>
    </r>
    <r>
      <rPr>
        <sz val="12"/>
        <color theme="1"/>
        <rFont val="Calibri"/>
        <family val="2"/>
      </rPr>
      <t>], the expected aggregate loss ratio limited to $100,000 per-occurrence.</t>
    </r>
  </si>
  <si>
    <r>
      <t>E[A</t>
    </r>
    <r>
      <rPr>
        <vertAlign val="subscript"/>
        <sz val="12"/>
        <color theme="1"/>
        <rFont val="Calibri"/>
        <family val="2"/>
      </rPr>
      <t>D</t>
    </r>
    <r>
      <rPr>
        <sz val="12"/>
        <color theme="1"/>
        <rFont val="Calibri"/>
        <family val="2"/>
      </rPr>
      <t>] =</t>
    </r>
  </si>
  <si>
    <t>The average ratio from the table gives us 38.6% + 0.1 * Y.</t>
  </si>
  <si>
    <t>If we tried this with horizontal slices, we would likely get caught.  In an exam setting, remember there is more than one way</t>
  </si>
  <si>
    <t>to solve a Table M-like question.</t>
  </si>
  <si>
    <t>for a $100,000 per-occurrence limit</t>
  </si>
  <si>
    <t>For b, remember that</t>
  </si>
  <si>
    <t>If one were to be given different information and asked for Y, remember that the upper limit should be the unlimited</t>
  </si>
  <si>
    <t>aggregate loss ratio, not the loss ratio of the next greatest risk.</t>
  </si>
  <si>
    <t>Remember that answer in part b.  While the word "debit" connotates bad and "credits" good, remember the objectives of</t>
  </si>
  <si>
    <t>The manual loss ratio line (graph 1): Generally, you want slope.  It shows that differences in risks are being identified.  The</t>
  </si>
  <si>
    <t>From Fisher, page 3:</t>
  </si>
  <si>
    <t>1. It allows us to account for differences between risks within a class.</t>
  </si>
  <si>
    <t>2. It allows us to account for differences due to variables that are difficult, impractical, or impossible to quantify via</t>
  </si>
  <si>
    <t>rating variables.</t>
  </si>
  <si>
    <t>3. It is a further refinement of classification rating since an individual risk's rate can be further tailored to its loss</t>
  </si>
  <si>
    <t>potential beyond the use of manual rates.</t>
  </si>
  <si>
    <t>If too much credibility is being given to past experiences, the second graph will have a negative slope, since we are reducing</t>
  </si>
  <si>
    <t>premium for risks with better than average loss experience by too much, increasing its standard loss ratio. (We are also</t>
  </si>
  <si>
    <t>increasing premium for risks with worse than average loss experience by too much)</t>
  </si>
  <si>
    <t>It is more likely questions will not include the development of losses, though it is mentioned as a way to mitigate</t>
  </si>
  <si>
    <r>
      <t xml:space="preserve">Risk D's ratable losses are capped at $3.5M </t>
    </r>
    <r>
      <rPr>
        <i/>
        <sz val="12"/>
        <color theme="1"/>
        <rFont val="Calibri"/>
        <family val="2"/>
      </rPr>
      <t>in aggregate</t>
    </r>
    <r>
      <rPr>
        <sz val="12"/>
        <color theme="1"/>
        <rFont val="Calibri"/>
        <family val="2"/>
      </rPr>
      <t xml:space="preserve"> for both policies.  Its ratable losses before applying the</t>
    </r>
  </si>
  <si>
    <t>Fisher/ISO - Schedule Rating</t>
  </si>
  <si>
    <t>For each you will need to sort the risks by experience mod and find the standard loss ratio for each risk.  One way to do this is using RANK( ) to identify the correct sort order and group into quintiles manually or with a formula.For Plan A:</t>
  </si>
  <si>
    <t>decrease (for better than average risks), which would increase the standard loss ratio.  The standard premium would increase</t>
  </si>
  <si>
    <t>1. 0 ≦  Z ≦  1</t>
  </si>
  <si>
    <t xml:space="preserve">larger total loss. </t>
  </si>
  <si>
    <t>Calculate the basic premium and retrospective premium after the second adjustment.</t>
  </si>
  <si>
    <t>The retrospective premium after the first adjustment is $1,500,000. Calculate the basic premium.</t>
  </si>
  <si>
    <t>c:</t>
  </si>
  <si>
    <t>Four risks face the identical loss scenarios below:</t>
  </si>
  <si>
    <t>Total, subject to clash of $750K</t>
  </si>
  <si>
    <t>Annual Claim Total</t>
  </si>
  <si>
    <t>Expected shortfall below $6,000 =</t>
  </si>
  <si>
    <t>𝜓(0.631) =</t>
  </si>
  <si>
    <t>φ (r)</t>
  </si>
  <si>
    <r>
      <t>φ</t>
    </r>
    <r>
      <rPr>
        <vertAlign val="superscript"/>
        <sz val="12"/>
        <color theme="1"/>
        <rFont val="Calibri"/>
        <family val="2"/>
      </rPr>
      <t>*</t>
    </r>
    <r>
      <rPr>
        <vertAlign val="subscript"/>
        <sz val="12"/>
        <color theme="1"/>
        <rFont val="Calibri"/>
        <family val="2"/>
      </rPr>
      <t>D</t>
    </r>
    <r>
      <rPr>
        <sz val="12"/>
        <color theme="1"/>
        <rFont val="Calibri"/>
        <family val="2"/>
      </rPr>
      <t>(r)</t>
    </r>
  </si>
  <si>
    <t>𝜓(r)</t>
  </si>
  <si>
    <r>
      <t>𝜓</t>
    </r>
    <r>
      <rPr>
        <vertAlign val="superscript"/>
        <sz val="12"/>
        <color theme="1"/>
        <rFont val="Calibri"/>
        <family val="2"/>
      </rPr>
      <t>*</t>
    </r>
    <r>
      <rPr>
        <vertAlign val="subscript"/>
        <sz val="12"/>
        <color theme="1"/>
        <rFont val="Calibri"/>
        <family val="2"/>
      </rPr>
      <t>D</t>
    </r>
    <r>
      <rPr>
        <sz val="12"/>
        <color theme="1"/>
        <rFont val="Calibri"/>
        <family val="2"/>
      </rPr>
      <t>(r)</t>
    </r>
  </si>
  <si>
    <t>You are given the following aggregate losses for identical risks within a group:</t>
  </si>
  <si>
    <r>
      <t>r = 0.8 excess of r</t>
    </r>
    <r>
      <rPr>
        <vertAlign val="subscript"/>
        <sz val="12"/>
        <color theme="1"/>
        <rFont val="Calibri (Body)"/>
      </rPr>
      <t>Risk</t>
    </r>
  </si>
  <si>
    <r>
      <t>r</t>
    </r>
    <r>
      <rPr>
        <vertAlign val="subscript"/>
        <sz val="12"/>
        <color theme="1"/>
        <rFont val="Calibri (Body)"/>
      </rPr>
      <t>Risk</t>
    </r>
    <r>
      <rPr>
        <sz val="12"/>
        <color theme="1"/>
        <rFont val="Calibri"/>
        <family val="2"/>
        <scheme val="minor"/>
      </rPr>
      <t xml:space="preserve"> excess of r = 1.15</t>
    </r>
  </si>
  <si>
    <t>FORECAST( ) formula:</t>
  </si>
  <si>
    <t>Interpolation formula:</t>
  </si>
  <si>
    <r>
      <t>r</t>
    </r>
    <r>
      <rPr>
        <vertAlign val="subscript"/>
        <sz val="12"/>
        <color theme="1"/>
        <rFont val="Calibri (Body)"/>
      </rPr>
      <t>Risk</t>
    </r>
    <r>
      <rPr>
        <sz val="12"/>
        <color theme="1"/>
        <rFont val="Calibri"/>
        <family val="2"/>
        <scheme val="minor"/>
      </rPr>
      <t xml:space="preserve"> Excess of r = 1.067</t>
    </r>
  </si>
  <si>
    <r>
      <t>φ</t>
    </r>
    <r>
      <rPr>
        <vertAlign val="subscript"/>
        <sz val="12"/>
        <color theme="1"/>
        <rFont val="Calibri"/>
        <family val="2"/>
      </rPr>
      <t>D</t>
    </r>
    <r>
      <rPr>
        <sz val="12"/>
        <color theme="1"/>
        <rFont val="Calibri"/>
        <family val="2"/>
      </rPr>
      <t xml:space="preserve"> (1.067) = </t>
    </r>
  </si>
  <si>
    <t>Since 44% + 0.1X = 50%</t>
  </si>
  <si>
    <r>
      <rPr>
        <sz val="12"/>
        <color theme="1"/>
        <rFont val="Calibri"/>
        <family val="2"/>
      </rPr>
      <t xml:space="preserve"> Therefore </t>
    </r>
    <r>
      <rPr>
        <b/>
        <sz val="12"/>
        <color theme="1"/>
        <rFont val="Calibri"/>
        <family val="2"/>
      </rPr>
      <t>X = 60%</t>
    </r>
  </si>
  <si>
    <r>
      <rPr>
        <sz val="12"/>
        <color theme="1"/>
        <rFont val="Calibri"/>
        <family val="2"/>
      </rPr>
      <t>Therefore</t>
    </r>
    <r>
      <rPr>
        <b/>
        <sz val="12"/>
        <color theme="1"/>
        <rFont val="Calibri"/>
        <family val="2"/>
      </rPr>
      <t xml:space="preserve"> Y =</t>
    </r>
  </si>
  <si>
    <r>
      <rPr>
        <b/>
        <sz val="12"/>
        <color theme="1"/>
        <rFont val="Calibri"/>
        <family val="2"/>
      </rPr>
      <t xml:space="preserve">Risk A </t>
    </r>
    <r>
      <rPr>
        <sz val="12"/>
        <color theme="1"/>
        <rFont val="Calibri"/>
        <family val="2"/>
      </rPr>
      <t xml:space="preserve">is under new management and the office building seems to be in poorer condition and maintenance. The managemant did recently purchase brand new, top-of-the line equipment for their manufacturing. New management also brought in new employees including temporary employees, so the current tenure is lower with fewer training opportunities compared to before.
</t>
    </r>
    <r>
      <rPr>
        <b/>
        <sz val="12"/>
        <color theme="1"/>
        <rFont val="Calibri"/>
        <family val="2"/>
      </rPr>
      <t xml:space="preserve">Risk B </t>
    </r>
    <r>
      <rPr>
        <sz val="12"/>
        <color theme="1"/>
        <rFont val="Calibri"/>
        <family val="2"/>
      </rPr>
      <t>has made significant improvements recently in the condation and maintenance of the building and grounds. Five years ago, their manufacturing equipment was replaced. They've recently implemented a robust safety training program and improved employee supervision and communication at all levels.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</si>
</sst>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#,##0.000"/>
    <numFmt numFmtId="166" formatCode="0.0"/>
    <numFmt numFmtId="169" formatCode="0.0000"/>
    <numFmt numFmtId="170" formatCode="_(&quot;$&quot;* #,##0_);_(&quot;$&quot;* \(#,##0\);_(&quot;$&quot;* &quot;-&quot;??_);_(@_)"/>
    <numFmt numFmtId="171" formatCode="0.0%"/>
    <numFmt numFmtId="174" formatCode="&quot;$&quot;#,##0.000_);[Red]\(&quot;$&quot;#,##0.000\)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vertAlign val="subscript"/>
      <sz val="12"/>
      <color theme="1"/>
      <name val="Calibri (Body)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sz val="11"/>
      <color theme="1"/>
      <name val="Calibri"/>
      <family val="2"/>
    </font>
    <font>
      <u/>
      <sz val="12"/>
      <color theme="1"/>
      <name val="Calibri"/>
      <family val="2"/>
    </font>
    <font>
      <vertAlign val="subscript"/>
      <sz val="12"/>
      <color theme="1"/>
      <name val="Calibri"/>
      <family val="2"/>
    </font>
    <font>
      <b/>
      <vertAlign val="subscript"/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sz val="12"/>
      <color theme="1"/>
      <name val="Calibri (Body)"/>
    </font>
    <font>
      <b/>
      <vertAlign val="subscript"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sz val="12"/>
      <color theme="0"/>
      <name val="Arial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41">
    <xf numFmtId="0" fontId="0" fillId="0" borderId="0" xfId="0"/>
    <xf numFmtId="0" fontId="9" fillId="2" borderId="2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0" xfId="0" applyFont="1"/>
    <xf numFmtId="0" fontId="8" fillId="2" borderId="0" xfId="0" applyFont="1" applyFill="1" applyBorder="1"/>
    <xf numFmtId="0" fontId="8" fillId="2" borderId="9" xfId="0" applyFont="1" applyFill="1" applyBorder="1"/>
    <xf numFmtId="0" fontId="9" fillId="2" borderId="10" xfId="0" applyFont="1" applyFill="1" applyBorder="1"/>
    <xf numFmtId="0" fontId="12" fillId="0" borderId="0" xfId="0" applyFont="1"/>
    <xf numFmtId="0" fontId="6" fillId="0" borderId="6" xfId="0" applyFont="1" applyBorder="1" applyAlignment="1">
      <alignment horizontal="right"/>
    </xf>
    <xf numFmtId="3" fontId="8" fillId="2" borderId="3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Border="1"/>
    <xf numFmtId="2" fontId="0" fillId="0" borderId="0" xfId="0" applyNumberFormat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8" fillId="2" borderId="0" xfId="0" applyFont="1" applyFill="1"/>
    <xf numFmtId="0" fontId="9" fillId="0" borderId="0" xfId="0" applyFont="1"/>
    <xf numFmtId="2" fontId="8" fillId="2" borderId="1" xfId="0" applyNumberFormat="1" applyFont="1" applyFill="1" applyBorder="1" applyAlignment="1">
      <alignment horizontal="left"/>
    </xf>
    <xf numFmtId="0" fontId="8" fillId="2" borderId="8" xfId="0" applyFont="1" applyFill="1" applyBorder="1"/>
    <xf numFmtId="0" fontId="7" fillId="0" borderId="0" xfId="0" applyFont="1"/>
    <xf numFmtId="0" fontId="15" fillId="0" borderId="0" xfId="0" applyFont="1"/>
    <xf numFmtId="164" fontId="8" fillId="0" borderId="0" xfId="0" applyNumberFormat="1" applyFont="1"/>
    <xf numFmtId="0" fontId="16" fillId="0" borderId="0" xfId="0" applyFont="1"/>
    <xf numFmtId="6" fontId="8" fillId="2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vertic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/>
    <xf numFmtId="6" fontId="8" fillId="2" borderId="0" xfId="0" applyNumberFormat="1" applyFont="1" applyFill="1" applyAlignment="1">
      <alignment horizontal="center"/>
    </xf>
    <xf numFmtId="6" fontId="8" fillId="2" borderId="0" xfId="0" applyNumberFormat="1" applyFont="1" applyFill="1"/>
    <xf numFmtId="164" fontId="6" fillId="0" borderId="7" xfId="0" applyNumberFormat="1" applyFont="1" applyBorder="1" applyAlignment="1">
      <alignment horizontal="center"/>
    </xf>
    <xf numFmtId="0" fontId="8" fillId="0" borderId="0" xfId="0" applyFont="1" applyFill="1" applyBorder="1"/>
    <xf numFmtId="0" fontId="8" fillId="0" borderId="4" xfId="0" applyFont="1" applyFill="1" applyBorder="1" applyAlignment="1">
      <alignment horizontal="center"/>
    </xf>
    <xf numFmtId="3" fontId="8" fillId="2" borderId="0" xfId="0" applyNumberFormat="1" applyFont="1" applyFill="1" applyAlignment="1">
      <alignment horizontal="center"/>
    </xf>
    <xf numFmtId="169" fontId="8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7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71" fontId="8" fillId="0" borderId="0" xfId="2" applyNumberFormat="1" applyFont="1" applyAlignment="1">
      <alignment horizontal="center"/>
    </xf>
    <xf numFmtId="0" fontId="12" fillId="0" borderId="6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8" fontId="8" fillId="0" borderId="0" xfId="0" applyNumberFormat="1" applyFont="1"/>
    <xf numFmtId="6" fontId="8" fillId="0" borderId="0" xfId="0" applyNumberFormat="1" applyFont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2" borderId="3" xfId="0" applyFont="1" applyFill="1" applyBorder="1"/>
    <xf numFmtId="3" fontId="8" fillId="2" borderId="5" xfId="0" applyNumberFormat="1" applyFont="1" applyFill="1" applyBorder="1" applyAlignment="1">
      <alignment horizontal="center"/>
    </xf>
    <xf numFmtId="0" fontId="8" fillId="0" borderId="3" xfId="0" applyFont="1" applyFill="1" applyBorder="1"/>
    <xf numFmtId="0" fontId="0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0" fillId="0" borderId="5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8" fillId="0" borderId="0" xfId="0" applyFont="1" applyBorder="1"/>
    <xf numFmtId="2" fontId="8" fillId="2" borderId="0" xfId="0" applyNumberFormat="1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170" fontId="8" fillId="2" borderId="9" xfId="3" applyNumberFormat="1" applyFont="1" applyFill="1" applyBorder="1"/>
    <xf numFmtId="9" fontId="8" fillId="2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1" fontId="8" fillId="2" borderId="0" xfId="0" applyNumberFormat="1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8" fillId="0" borderId="0" xfId="0" quotePrefix="1" applyFont="1" applyAlignment="1">
      <alignment horizontal="left"/>
    </xf>
    <xf numFmtId="174" fontId="8" fillId="0" borderId="0" xfId="0" applyNumberFormat="1" applyFont="1"/>
    <xf numFmtId="164" fontId="8" fillId="2" borderId="0" xfId="0" applyNumberFormat="1" applyFont="1" applyFill="1" applyAlignment="1">
      <alignment horizontal="center"/>
    </xf>
    <xf numFmtId="9" fontId="16" fillId="0" borderId="0" xfId="0" applyNumberFormat="1" applyFont="1"/>
    <xf numFmtId="164" fontId="8" fillId="0" borderId="0" xfId="0" applyNumberFormat="1" applyFont="1" applyFill="1" applyAlignment="1">
      <alignment horizontal="center"/>
    </xf>
    <xf numFmtId="6" fontId="8" fillId="0" borderId="0" xfId="0" applyNumberFormat="1" applyFont="1" applyFill="1" applyAlignment="1">
      <alignment horizontal="center"/>
    </xf>
    <xf numFmtId="6" fontId="12" fillId="0" borderId="7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/>
    <xf numFmtId="169" fontId="0" fillId="0" borderId="0" xfId="0" applyNumberFormat="1" applyFont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0" fontId="13" fillId="0" borderId="0" xfId="0" applyFont="1"/>
    <xf numFmtId="0" fontId="8" fillId="0" borderId="0" xfId="0" applyFont="1" applyFill="1"/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2" borderId="0" xfId="0" applyFont="1" applyFill="1" applyBorder="1" applyAlignment="1"/>
    <xf numFmtId="0" fontId="0" fillId="0" borderId="0" xfId="0" quotePrefix="1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4" fontId="0" fillId="0" borderId="0" xfId="2" applyNumberFormat="1" applyFont="1" applyFill="1" applyBorder="1" applyAlignment="1">
      <alignment horizontal="center" wrapText="1"/>
    </xf>
    <xf numFmtId="164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right"/>
    </xf>
    <xf numFmtId="9" fontId="8" fillId="0" borderId="0" xfId="2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12" fillId="0" borderId="6" xfId="0" applyFont="1" applyBorder="1"/>
    <xf numFmtId="0" fontId="24" fillId="0" borderId="0" xfId="0" applyFont="1"/>
    <xf numFmtId="3" fontId="9" fillId="0" borderId="0" xfId="0" applyNumberFormat="1" applyFont="1"/>
    <xf numFmtId="0" fontId="25" fillId="0" borderId="0" xfId="0" applyFont="1"/>
    <xf numFmtId="165" fontId="8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9" fontId="8" fillId="0" borderId="0" xfId="0" applyNumberFormat="1" applyFont="1" applyBorder="1" applyAlignment="1">
      <alignment horizontal="left" wrapText="1"/>
    </xf>
    <xf numFmtId="9" fontId="8" fillId="0" borderId="0" xfId="2" applyFont="1" applyBorder="1" applyAlignment="1">
      <alignment horizontal="left"/>
    </xf>
    <xf numFmtId="164" fontId="0" fillId="0" borderId="0" xfId="0" applyNumberFormat="1" applyBorder="1" applyAlignment="1">
      <alignment horizontal="left" vertical="center"/>
    </xf>
    <xf numFmtId="9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9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0" fontId="8" fillId="0" borderId="0" xfId="2" applyNumberFormat="1" applyFont="1" applyBorder="1" applyAlignment="1">
      <alignment horizontal="center"/>
    </xf>
    <xf numFmtId="171" fontId="8" fillId="0" borderId="0" xfId="2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26" fillId="3" borderId="0" xfId="0" applyFont="1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164" fontId="8" fillId="0" borderId="0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164" fontId="8" fillId="0" borderId="3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9" fontId="0" fillId="0" borderId="3" xfId="2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1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170" fontId="8" fillId="0" borderId="17" xfId="1" applyNumberFormat="1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6" fontId="8" fillId="0" borderId="5" xfId="0" applyNumberFormat="1" applyFont="1" applyFill="1" applyBorder="1" applyAlignment="1">
      <alignment horizontal="center"/>
    </xf>
    <xf numFmtId="16" fontId="8" fillId="2" borderId="5" xfId="0" applyNumberFormat="1" applyFont="1" applyFill="1" applyBorder="1" applyAlignment="1">
      <alignment horizontal="center"/>
    </xf>
    <xf numFmtId="16" fontId="8" fillId="0" borderId="5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9" fontId="8" fillId="0" borderId="3" xfId="2" applyFont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2" fontId="11" fillId="0" borderId="3" xfId="0" applyNumberFormat="1" applyFont="1" applyFill="1" applyBorder="1" applyAlignment="1">
      <alignment horizontal="center"/>
    </xf>
    <xf numFmtId="9" fontId="11" fillId="0" borderId="3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 vertical="center"/>
    </xf>
    <xf numFmtId="169" fontId="8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9" fontId="8" fillId="0" borderId="4" xfId="2" applyFont="1" applyBorder="1" applyAlignment="1">
      <alignment horizontal="center"/>
    </xf>
    <xf numFmtId="169" fontId="0" fillId="0" borderId="3" xfId="0" applyNumberFormat="1" applyBorder="1" applyAlignment="1">
      <alignment horizontal="center" vertical="center"/>
    </xf>
    <xf numFmtId="0" fontId="16" fillId="0" borderId="3" xfId="0" applyFont="1" applyBorder="1"/>
    <xf numFmtId="2" fontId="8" fillId="0" borderId="4" xfId="0" applyNumberFormat="1" applyFont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9" fontId="8" fillId="2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left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5" xfId="0" applyFont="1" applyBorder="1" applyAlignment="1">
      <alignment horizontal="center" wrapText="1"/>
    </xf>
    <xf numFmtId="170" fontId="12" fillId="0" borderId="14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3" fontId="8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0" fillId="4" borderId="0" xfId="0" applyFont="1" applyFill="1" applyBorder="1" applyAlignment="1">
      <alignment horizontal="center" wrapText="1"/>
    </xf>
    <xf numFmtId="3" fontId="8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0" xfId="0" applyFont="1" applyBorder="1"/>
    <xf numFmtId="164" fontId="12" fillId="0" borderId="0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8" fillId="0" borderId="6" xfId="0" applyFont="1" applyBorder="1" applyAlignment="1">
      <alignment horizontal="right"/>
    </xf>
    <xf numFmtId="164" fontId="21" fillId="0" borderId="0" xfId="0" applyNumberFormat="1" applyFont="1" applyAlignment="1">
      <alignment horizontal="center" vertical="center"/>
    </xf>
    <xf numFmtId="6" fontId="8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169" fontId="3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171" fontId="12" fillId="0" borderId="0" xfId="2" applyNumberFormat="1" applyFont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9" fontId="21" fillId="0" borderId="15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3" xfId="0" applyFont="1" applyBorder="1" applyAlignment="1">
      <alignment horizontal="center"/>
    </xf>
    <xf numFmtId="9" fontId="21" fillId="0" borderId="0" xfId="0" applyNumberFormat="1" applyFont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8" fillId="0" borderId="5" xfId="0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9" fontId="8" fillId="0" borderId="13" xfId="0" applyNumberFormat="1" applyFont="1" applyFill="1" applyBorder="1" applyAlignment="1">
      <alignment horizontal="center"/>
    </xf>
    <xf numFmtId="9" fontId="8" fillId="0" borderId="5" xfId="0" applyNumberFormat="1" applyFont="1" applyFill="1" applyBorder="1" applyAlignment="1">
      <alignment horizontal="center"/>
    </xf>
    <xf numFmtId="9" fontId="21" fillId="0" borderId="12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9" fontId="8" fillId="0" borderId="4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4">
    <cellStyle name="Currency" xfId="1" builtinId="4"/>
    <cellStyle name="Currency 2" xfId="3" xr:uid="{23A4C3F9-7E1D-5F4C-9E5B-2961211888F1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'Fisher - 5'!$C$91</c:f>
              <c:strCache>
                <c:ptCount val="1"/>
                <c:pt idx="0">
                  <c:v>Manual LR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'Fisher - 5'!$B$92:$B$96</c:f>
              <c:numCache>
                <c:formatCode>General</c:formatCode>
                <c:ptCount val="5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1.1000000000000001</c:v>
                </c:pt>
                <c:pt idx="4">
                  <c:v>1.2</c:v>
                </c:pt>
              </c:numCache>
            </c:numRef>
          </c:xVal>
          <c:yVal>
            <c:numRef>
              <c:f>'Fisher - 5'!$C$92:$C$96</c:f>
              <c:numCache>
                <c:formatCode>0%</c:formatCode>
                <c:ptCount val="5"/>
                <c:pt idx="0">
                  <c:v>0.4</c:v>
                </c:pt>
                <c:pt idx="1">
                  <c:v>0.45</c:v>
                </c:pt>
                <c:pt idx="2">
                  <c:v>0.5</c:v>
                </c:pt>
                <c:pt idx="3">
                  <c:v>0.55000000000000004</c:v>
                </c:pt>
                <c:pt idx="4">
                  <c:v>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77-FE42-81B3-CA3E19257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277600"/>
        <c:axId val="208811616"/>
      </c:scatterChart>
      <c:valAx>
        <c:axId val="264277600"/>
        <c:scaling>
          <c:orientation val="minMax"/>
          <c:min val="0.70000000000000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11616"/>
        <c:crosses val="autoZero"/>
        <c:crossBetween val="midCat"/>
      </c:valAx>
      <c:valAx>
        <c:axId val="208811616"/>
        <c:scaling>
          <c:orientation val="minMax"/>
          <c:max val="0.70000000000000007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Manual Loss</a:t>
                </a:r>
                <a:r>
                  <a:rPr lang="en-US" baseline="0"/>
                  <a:t> Ratio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27760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'Fisher - 5'!$D$91</c:f>
              <c:strCache>
                <c:ptCount val="1"/>
                <c:pt idx="0">
                  <c:v>Standard LR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'Fisher - 5'!$B$92:$B$96</c:f>
              <c:numCache>
                <c:formatCode>General</c:formatCode>
                <c:ptCount val="5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1.1000000000000001</c:v>
                </c:pt>
                <c:pt idx="4">
                  <c:v>1.2</c:v>
                </c:pt>
              </c:numCache>
            </c:numRef>
          </c:xVal>
          <c:yVal>
            <c:numRef>
              <c:f>'Fisher - 5'!$D$92:$D$96</c:f>
              <c:numCache>
                <c:formatCode>General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B3-F848-9452-AE3881720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277600"/>
        <c:axId val="208811616"/>
      </c:scatterChart>
      <c:valAx>
        <c:axId val="264277600"/>
        <c:scaling>
          <c:orientation val="minMax"/>
          <c:min val="0.70000000000000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11616"/>
        <c:crosses val="autoZero"/>
        <c:crossBetween val="midCat"/>
        <c:majorUnit val="0.1"/>
      </c:valAx>
      <c:valAx>
        <c:axId val="208811616"/>
        <c:scaling>
          <c:orientation val="minMax"/>
          <c:max val="0.60000000000000009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</a:t>
                </a:r>
                <a:r>
                  <a:rPr lang="en-US" baseline="0"/>
                  <a:t> Loss Ratio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277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264584</xdr:colOff>
      <xdr:row>79</xdr:row>
      <xdr:rowOff>183985</xdr:rowOff>
    </xdr:from>
    <xdr:ext cx="3683000" cy="3515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A8E4771-E590-9546-BD92-8A86AE4B8623}"/>
                </a:ext>
              </a:extLst>
            </xdr:cNvPr>
            <xdr:cNvSpPr txBox="1"/>
          </xdr:nvSpPr>
          <xdr:spPr>
            <a:xfrm>
              <a:off x="1090084" y="16207152"/>
              <a:ext cx="3683000" cy="3515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𝑀𝑜𝑑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=1+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𝐴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𝑝</m:t>
                                </m:r>
                              </m:sub>
                            </m:s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𝑝</m:t>
                                </m:r>
                              </m:sub>
                            </m:sSub>
                          </m:e>
                        </m:d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𝐸</m:t>
                        </m:r>
                      </m:den>
                    </m:f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𝑒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𝐸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sub>
                        </m:s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𝐸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A8E4771-E590-9546-BD92-8A86AE4B8623}"/>
                </a:ext>
              </a:extLst>
            </xdr:cNvPr>
            <xdr:cNvSpPr txBox="1"/>
          </xdr:nvSpPr>
          <xdr:spPr>
            <a:xfrm>
              <a:off x="1090084" y="16207152"/>
              <a:ext cx="3683000" cy="3515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𝑀𝑜𝑑=1+𝑍_𝑝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∙((𝐴_𝑝−𝐸_𝑝 ))/𝐸+𝑍_𝑒∙((𝐴_𝑒−𝐸_𝑒))/𝐸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338668</xdr:colOff>
      <xdr:row>29</xdr:row>
      <xdr:rowOff>188872</xdr:rowOff>
    </xdr:from>
    <xdr:ext cx="1830373" cy="3570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8E511A19-93C0-2946-A8EF-7772C29C9F49}"/>
                </a:ext>
              </a:extLst>
            </xdr:cNvPr>
            <xdr:cNvSpPr txBox="1"/>
          </xdr:nvSpPr>
          <xdr:spPr>
            <a:xfrm>
              <a:off x="1989668" y="6866955"/>
              <a:ext cx="1830373" cy="3570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l-GR" sz="1200" i="1">
                        <a:latin typeface="Cambria Math" panose="02040503050406030204" pitchFamily="18" charset="0"/>
                      </a:rPr>
                      <m:t>Φ</m:t>
                    </m:r>
                    <m:d>
                      <m:dPr>
                        <m:ctrlPr>
                          <a:rPr lang="en-US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</m:d>
                    <m:r>
                      <a:rPr lang="en-US" sz="12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pHide m:val="on"/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n-US" sz="12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𝑖𝑠𝑘𝑠</m:t>
                            </m:r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&gt;</m:t>
                            </m:r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sub>
                          <m:sup/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200" b="0" i="1">
                                    <a:latin typeface="Cambria Math" panose="02040503050406030204" pitchFamily="18" charset="0"/>
                                  </a:rPr>
                                  <m:t>𝑅𝑖𝑠𝑘</m:t>
                                </m:r>
                              </m:sub>
                            </m:sSub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</m:nary>
                      </m:num>
                      <m:den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8E511A19-93C0-2946-A8EF-7772C29C9F49}"/>
                </a:ext>
              </a:extLst>
            </xdr:cNvPr>
            <xdr:cNvSpPr txBox="1"/>
          </xdr:nvSpPr>
          <xdr:spPr>
            <a:xfrm>
              <a:off x="1989668" y="6866955"/>
              <a:ext cx="1830373" cy="3570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l-GR" sz="1200" i="0">
                  <a:latin typeface="Cambria Math" panose="02040503050406030204" pitchFamily="18" charset="0"/>
                </a:rPr>
                <a:t>Φ</a:t>
              </a:r>
              <a:r>
                <a:rPr lang="en-US" sz="1200" b="0" i="0">
                  <a:latin typeface="Cambria Math" panose="02040503050406030204" pitchFamily="18" charset="0"/>
                </a:rPr>
                <a:t>(𝑟)=  (∑_(𝑅𝑖𝑠𝑘𝑠&gt;𝑟)▒〖(𝑟_𝑅𝑖𝑠𝑘−𝑟)〗)/𝑛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3</xdr:col>
      <xdr:colOff>703384</xdr:colOff>
      <xdr:row>56</xdr:row>
      <xdr:rowOff>166077</xdr:rowOff>
    </xdr:from>
    <xdr:ext cx="1040991" cy="3508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EC238E4D-DF8F-D140-9497-8D053B54F9E2}"/>
                </a:ext>
              </a:extLst>
            </xdr:cNvPr>
            <xdr:cNvSpPr txBox="1"/>
          </xdr:nvSpPr>
          <xdr:spPr>
            <a:xfrm>
              <a:off x="3179884" y="12273410"/>
              <a:ext cx="1040991" cy="3508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2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𝐸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𝐸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[</m:t>
                        </m:r>
                        <m:sSub>
                          <m:sSub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sub>
                        </m:sSub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]</m:t>
                        </m:r>
                      </m:num>
                      <m:den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𝐸</m:t>
                        </m:r>
                      </m:den>
                    </m:f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EC238E4D-DF8F-D140-9497-8D053B54F9E2}"/>
                </a:ext>
              </a:extLst>
            </xdr:cNvPr>
            <xdr:cNvSpPr txBox="1"/>
          </xdr:nvSpPr>
          <xdr:spPr>
            <a:xfrm>
              <a:off x="3194538" y="12465539"/>
              <a:ext cx="1040991" cy="3508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𝑘=  (𝐸−𝐸[𝐴_𝐷])/𝐸</a:t>
              </a:r>
              <a:endParaRPr lang="en-US" sz="12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664307</xdr:colOff>
      <xdr:row>56</xdr:row>
      <xdr:rowOff>9770</xdr:rowOff>
    </xdr:from>
    <xdr:ext cx="4155689" cy="1720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55A918C7-79FD-584C-B629-301BA1D1D336}"/>
                </a:ext>
              </a:extLst>
            </xdr:cNvPr>
            <xdr:cNvSpPr txBox="1"/>
          </xdr:nvSpPr>
          <xdr:spPr>
            <a:xfrm>
              <a:off x="1489807" y="11365687"/>
              <a:ext cx="4155689" cy="172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𝑆𝑡𝑎𝑛𝑑𝑎𝑟𝑑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𝑃𝑟𝑒𝑚𝑖𝑢𝑚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𝑀𝑎𝑛𝑢𝑎𝑙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𝑃𝑟𝑒𝑚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𝑀𝑜𝑑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∙(1+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𝑆𝑐h𝑒𝑑𝑢𝑙𝑒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𝑅𝑎𝑡𝑖𝑛𝑔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55A918C7-79FD-584C-B629-301BA1D1D336}"/>
                </a:ext>
              </a:extLst>
            </xdr:cNvPr>
            <xdr:cNvSpPr txBox="1"/>
          </xdr:nvSpPr>
          <xdr:spPr>
            <a:xfrm>
              <a:off x="1494692" y="11381155"/>
              <a:ext cx="4155689" cy="172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𝑆𝑡𝑎𝑛𝑑𝑎𝑟𝑑 𝑃𝑟𝑒𝑚𝑖𝑢𝑚=𝑀𝑎𝑛𝑢𝑎𝑙 𝑃𝑟𝑒𝑚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∙𝑀𝑜𝑑∙(1+𝑆𝑐ℎ𝑒𝑑𝑢𝑙𝑒 𝑅𝑎𝑡𝑖𝑛𝑔)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224694</xdr:colOff>
      <xdr:row>59</xdr:row>
      <xdr:rowOff>146538</xdr:rowOff>
    </xdr:from>
    <xdr:ext cx="889667" cy="320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FCBA17DE-D115-7248-8316-7D60452193A8}"/>
                </a:ext>
              </a:extLst>
            </xdr:cNvPr>
            <xdr:cNvSpPr txBox="1"/>
          </xdr:nvSpPr>
          <xdr:spPr>
            <a:xfrm>
              <a:off x="1875694" y="12105705"/>
              <a:ext cx="889667" cy="320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𝑀𝑜𝑑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𝐸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FCBA17DE-D115-7248-8316-7D60452193A8}"/>
                </a:ext>
              </a:extLst>
            </xdr:cNvPr>
            <xdr:cNvSpPr txBox="1"/>
          </xdr:nvSpPr>
          <xdr:spPr>
            <a:xfrm>
              <a:off x="1885463" y="12133384"/>
              <a:ext cx="889667" cy="320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𝑀𝑜𝑑=  (𝐴+𝐾)/(𝐸+𝐾)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78153</xdr:colOff>
      <xdr:row>59</xdr:row>
      <xdr:rowOff>166077</xdr:rowOff>
    </xdr:from>
    <xdr:ext cx="2896049" cy="3515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4C9F776C-C59F-C345-8DB9-F6A20BAF59C2}"/>
                </a:ext>
              </a:extLst>
            </xdr:cNvPr>
            <xdr:cNvSpPr txBox="1"/>
          </xdr:nvSpPr>
          <xdr:spPr>
            <a:xfrm>
              <a:off x="3517736" y="12125244"/>
              <a:ext cx="2896049" cy="3515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𝐾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𝐸𝑥𝑝𝑒𝑐𝑡𝑒𝑑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𝑉𝑎𝑙𝑢𝑒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𝑜𝑓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𝑡h𝑒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𝑃𝑟𝑜𝑐𝑒𝑠𝑠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𝑉𝑎𝑟𝑖𝑎𝑛𝑐𝑒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𝑉𝑎𝑟𝑖𝑎𝑛𝑐𝑒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𝑜𝑓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𝑡h𝑒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𝐻𝑦𝑝𝑜𝑡h𝑒𝑡𝑖𝑐𝑎𝑙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𝑀𝑒𝑎𝑛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4C9F776C-C59F-C345-8DB9-F6A20BAF59C2}"/>
                </a:ext>
              </a:extLst>
            </xdr:cNvPr>
            <xdr:cNvSpPr txBox="1"/>
          </xdr:nvSpPr>
          <xdr:spPr>
            <a:xfrm>
              <a:off x="3536461" y="12152923"/>
              <a:ext cx="2896049" cy="3515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𝐾=  (𝐸𝑥𝑝𝑒𝑐𝑡𝑒𝑑 𝑉𝑎𝑙𝑢𝑒 𝑜𝑓 𝑡ℎ𝑒 𝑃𝑟𝑜𝑐𝑒𝑠𝑠 𝑉𝑎𝑟𝑖𝑎𝑛𝑐𝑒)/(𝑉𝑎𝑟𝑖𝑎𝑛𝑐𝑒 𝑜𝑓 𝑡ℎ𝑒 𝐻𝑦𝑝𝑜𝑡ℎ𝑒𝑡𝑖𝑐𝑎𝑙 𝑀𝑒𝑎𝑛)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224694</xdr:colOff>
      <xdr:row>88</xdr:row>
      <xdr:rowOff>146538</xdr:rowOff>
    </xdr:from>
    <xdr:ext cx="889667" cy="320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A5573374-77AB-F645-9982-A35B7E123654}"/>
                </a:ext>
              </a:extLst>
            </xdr:cNvPr>
            <xdr:cNvSpPr txBox="1"/>
          </xdr:nvSpPr>
          <xdr:spPr>
            <a:xfrm>
              <a:off x="1875694" y="18614455"/>
              <a:ext cx="889667" cy="320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𝑀𝑜𝑑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𝐸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𝐾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A5573374-77AB-F645-9982-A35B7E123654}"/>
                </a:ext>
              </a:extLst>
            </xdr:cNvPr>
            <xdr:cNvSpPr txBox="1"/>
          </xdr:nvSpPr>
          <xdr:spPr>
            <a:xfrm>
              <a:off x="1885463" y="18053538"/>
              <a:ext cx="889667" cy="320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𝑀𝑜𝑑=  (𝐴+𝐾)/(𝐸+𝐾)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78153</xdr:colOff>
      <xdr:row>88</xdr:row>
      <xdr:rowOff>166077</xdr:rowOff>
    </xdr:from>
    <xdr:ext cx="2896049" cy="3515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1C7575A2-46E0-FE41-9200-1AE0B110B2F7}"/>
                </a:ext>
              </a:extLst>
            </xdr:cNvPr>
            <xdr:cNvSpPr txBox="1"/>
          </xdr:nvSpPr>
          <xdr:spPr>
            <a:xfrm>
              <a:off x="3517736" y="18633994"/>
              <a:ext cx="2896049" cy="3515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𝐾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𝐸𝑥𝑝𝑒𝑐𝑡𝑒𝑑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𝑉𝑎𝑙𝑢𝑒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𝑜𝑓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𝑡h𝑒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𝑃𝑟𝑜𝑐𝑒𝑠𝑠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𝑉𝑎𝑟𝑖𝑎𝑛𝑐𝑒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𝑉𝑎𝑟𝑖𝑎𝑛𝑐𝑒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𝑜𝑓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𝑡h𝑒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𝐻𝑦𝑝𝑜𝑡h𝑒𝑡𝑖𝑐𝑎𝑙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𝑀𝑒𝑎𝑛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1C7575A2-46E0-FE41-9200-1AE0B110B2F7}"/>
                </a:ext>
              </a:extLst>
            </xdr:cNvPr>
            <xdr:cNvSpPr txBox="1"/>
          </xdr:nvSpPr>
          <xdr:spPr>
            <a:xfrm>
              <a:off x="3536461" y="18073077"/>
              <a:ext cx="2896049" cy="3515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𝐾=  (𝐸𝑥𝑝𝑒𝑐𝑡𝑒𝑑 𝑉𝑎𝑙𝑢𝑒 𝑜𝑓 𝑡ℎ𝑒 𝑃𝑟𝑜𝑐𝑒𝑠𝑠 𝑉𝑎𝑟𝑖𝑎𝑛𝑐𝑒)/(𝑉𝑎𝑟𝑖𝑎𝑛𝑐𝑒 𝑜𝑓 𝑡ℎ𝑒 𝐻𝑦𝑝𝑜𝑡ℎ𝑒𝑡𝑖𝑐𝑎𝑙 𝑀𝑒𝑎𝑛)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137</xdr:row>
      <xdr:rowOff>0</xdr:rowOff>
    </xdr:from>
    <xdr:ext cx="4155689" cy="1720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79F52B05-6185-7541-8773-57375087A8BA}"/>
                </a:ext>
              </a:extLst>
            </xdr:cNvPr>
            <xdr:cNvSpPr txBox="1"/>
          </xdr:nvSpPr>
          <xdr:spPr>
            <a:xfrm>
              <a:off x="1651000" y="28373917"/>
              <a:ext cx="4155689" cy="172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𝑆𝑡𝑎𝑛𝑑𝑎𝑟𝑑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𝑃𝑟𝑒𝑚𝑖𝑢𝑚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𝑀𝑎𝑛𝑢𝑎𝑙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𝑃𝑟𝑒𝑚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𝑀𝑜𝑑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∙(1+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𝑆𝑐h𝑒𝑑𝑢𝑙𝑒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𝑅𝑎𝑡𝑖𝑛𝑔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79F52B05-6185-7541-8773-57375087A8BA}"/>
                </a:ext>
              </a:extLst>
            </xdr:cNvPr>
            <xdr:cNvSpPr txBox="1"/>
          </xdr:nvSpPr>
          <xdr:spPr>
            <a:xfrm>
              <a:off x="1660769" y="28008385"/>
              <a:ext cx="4155689" cy="172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𝑆𝑡𝑎𝑛𝑑𝑎𝑟𝑑 𝑃𝑟𝑒𝑚𝑖𝑢𝑚=𝑀𝑎𝑛𝑢𝑎𝑙 𝑃𝑟𝑒𝑚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∙𝑀𝑜𝑑∙(1+𝑆𝑐ℎ𝑒𝑑𝑢𝑙𝑒 𝑅𝑎𝑡𝑖𝑛𝑔)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85</xdr:row>
      <xdr:rowOff>4070</xdr:rowOff>
    </xdr:from>
    <xdr:ext cx="4155689" cy="1720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7BF1A3DC-2517-6C43-AB4E-DC31B0A1513E}"/>
                </a:ext>
              </a:extLst>
            </xdr:cNvPr>
            <xdr:cNvSpPr txBox="1"/>
          </xdr:nvSpPr>
          <xdr:spPr>
            <a:xfrm>
              <a:off x="1651000" y="17868737"/>
              <a:ext cx="4155689" cy="172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𝑆𝑡𝑎𝑛𝑑𝑎𝑟𝑑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𝑃𝑟𝑒𝑚𝑖𝑢𝑚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𝑀𝑎𝑛𝑢𝑎𝑙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𝑃𝑟𝑒𝑚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𝑀𝑜𝑑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∙(1+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𝑆𝑐h𝑒𝑑𝑢𝑙𝑒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𝑅𝑎𝑡𝑖𝑛𝑔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7BF1A3DC-2517-6C43-AB4E-DC31B0A1513E}"/>
                </a:ext>
              </a:extLst>
            </xdr:cNvPr>
            <xdr:cNvSpPr txBox="1"/>
          </xdr:nvSpPr>
          <xdr:spPr>
            <a:xfrm>
              <a:off x="1660769" y="17291538"/>
              <a:ext cx="4155689" cy="172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𝑆𝑡𝑎𝑛𝑑𝑎𝑟𝑑 𝑃𝑟𝑒𝑚𝑖𝑢𝑚=𝑀𝑎𝑛𝑢𝑎𝑙 𝑃𝑟𝑒𝑚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∙𝑀𝑜𝑑∙(1+𝑆𝑐ℎ𝑒𝑑𝑢𝑙𝑒 𝑅𝑎𝑡𝑖𝑛𝑔)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219808</xdr:colOff>
      <xdr:row>89</xdr:row>
      <xdr:rowOff>152400</xdr:rowOff>
    </xdr:from>
    <xdr:to>
      <xdr:col>5</xdr:col>
      <xdr:colOff>581270</xdr:colOff>
      <xdr:row>103</xdr:row>
      <xdr:rowOff>23446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220B69-9085-E44C-84E8-2B10995A0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791308</xdr:colOff>
      <xdr:row>89</xdr:row>
      <xdr:rowOff>175846</xdr:rowOff>
    </xdr:from>
    <xdr:to>
      <xdr:col>11</xdr:col>
      <xdr:colOff>0</xdr:colOff>
      <xdr:row>103</xdr:row>
      <xdr:rowOff>46892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CDA9016-9244-754D-B6ED-4A7F6810AC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420077</xdr:colOff>
      <xdr:row>63</xdr:row>
      <xdr:rowOff>29307</xdr:rowOff>
    </xdr:from>
    <xdr:ext cx="92102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8447204-CDDD-A64A-A48A-479838A25BCB}"/>
                </a:ext>
              </a:extLst>
            </xdr:cNvPr>
            <xdr:cNvSpPr txBox="1"/>
          </xdr:nvSpPr>
          <xdr:spPr>
            <a:xfrm>
              <a:off x="3954910" y="12792807"/>
              <a:ext cx="921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𝐵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𝑐𝐿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𝑇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8447204-CDDD-A64A-A48A-479838A25BCB}"/>
                </a:ext>
              </a:extLst>
            </xdr:cNvPr>
            <xdr:cNvSpPr txBox="1"/>
          </xdr:nvSpPr>
          <xdr:spPr>
            <a:xfrm>
              <a:off x="3810000" y="12836769"/>
              <a:ext cx="921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𝑅=(𝐵+𝑐𝐿)𝑇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293078</xdr:colOff>
      <xdr:row>64</xdr:row>
      <xdr:rowOff>156308</xdr:rowOff>
    </xdr:from>
    <xdr:ext cx="2365776" cy="3465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15A2D7D1-CDB0-4444-8B47-08CEA94FA990}"/>
                </a:ext>
              </a:extLst>
            </xdr:cNvPr>
            <xdr:cNvSpPr txBox="1"/>
          </xdr:nvSpPr>
          <xdr:spPr>
            <a:xfrm>
              <a:off x="3827911" y="13120891"/>
              <a:ext cx="2365776" cy="346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𝑇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1−%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𝑝𝑟𝑒𝑚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𝑡𝑎𝑥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−%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𝑐𝑜𝑚𝑚𝑖𝑠𝑠𝑖𝑜𝑛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15A2D7D1-CDB0-4444-8B47-08CEA94FA990}"/>
                </a:ext>
              </a:extLst>
            </xdr:cNvPr>
            <xdr:cNvSpPr txBox="1"/>
          </xdr:nvSpPr>
          <xdr:spPr>
            <a:xfrm>
              <a:off x="3683001" y="13168923"/>
              <a:ext cx="2365776" cy="346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𝑇=  1/(1−%𝑝𝑟𝑒𝑚 𝑡𝑎𝑥 −%𝑐𝑜𝑚𝑚𝑖𝑠𝑠𝑖𝑜𝑛)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781538</xdr:colOff>
      <xdr:row>68</xdr:row>
      <xdr:rowOff>97692</xdr:rowOff>
    </xdr:from>
    <xdr:ext cx="716928" cy="315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4F18B6C9-607C-954C-8D85-B8250BAA92BD}"/>
                </a:ext>
              </a:extLst>
            </xdr:cNvPr>
            <xdr:cNvSpPr txBox="1"/>
          </xdr:nvSpPr>
          <xdr:spPr>
            <a:xfrm>
              <a:off x="3490871" y="13866609"/>
              <a:ext cx="716928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</m:t>
                        </m:r>
                      </m:den>
                    </m:f>
                    <m:r>
                      <a:rPr lang="en-US" sz="11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𝑐𝐿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𝐵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4F18B6C9-607C-954C-8D85-B8250BAA92BD}"/>
                </a:ext>
              </a:extLst>
            </xdr:cNvPr>
            <xdr:cNvSpPr txBox="1"/>
          </xdr:nvSpPr>
          <xdr:spPr>
            <a:xfrm>
              <a:off x="3341076" y="13930923"/>
              <a:ext cx="716928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𝑅/𝑇−𝑐𝐿=𝐵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86</xdr:row>
      <xdr:rowOff>0</xdr:rowOff>
    </xdr:from>
    <xdr:ext cx="129573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4174AF0E-034B-A04A-BC03-23096F911636}"/>
                </a:ext>
              </a:extLst>
            </xdr:cNvPr>
            <xdr:cNvSpPr txBox="1"/>
          </xdr:nvSpPr>
          <xdr:spPr>
            <a:xfrm>
              <a:off x="3302000" y="18901833"/>
              <a:ext cx="12957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𝜓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 panose="02040503050406030204" pitchFamily="18" charset="0"/>
                      </a:rPr>
                      <m:t>Φ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𝑟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−1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4174AF0E-034B-A04A-BC03-23096F911636}"/>
                </a:ext>
              </a:extLst>
            </xdr:cNvPr>
            <xdr:cNvSpPr txBox="1"/>
          </xdr:nvSpPr>
          <xdr:spPr>
            <a:xfrm>
              <a:off x="3302000" y="18901833"/>
              <a:ext cx="12957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𝜓</a:t>
              </a:r>
              <a:r>
                <a:rPr lang="en-US" sz="1100" b="0" i="0">
                  <a:latin typeface="Cambria Math" panose="02040503050406030204" pitchFamily="18" charset="0"/>
                </a:rPr>
                <a:t>(𝑟)=</a:t>
              </a:r>
              <a:r>
                <a:rPr lang="el-GR" sz="1100" b="0" i="0">
                  <a:latin typeface="Cambria Math" panose="02040503050406030204" pitchFamily="18" charset="0"/>
                </a:rPr>
                <a:t>Φ</a:t>
              </a:r>
              <a:r>
                <a:rPr lang="en-US" sz="1100" b="0" i="0">
                  <a:latin typeface="Cambria Math" panose="02040503050406030204" pitchFamily="18" charset="0"/>
                </a:rPr>
                <a:t>(𝑟)+𝑟−1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592667</xdr:colOff>
      <xdr:row>70</xdr:row>
      <xdr:rowOff>10582</xdr:rowOff>
    </xdr:from>
    <xdr:ext cx="2904641" cy="1720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5C052D31-1AA7-EF48-9777-AEC919411315}"/>
                </a:ext>
              </a:extLst>
            </xdr:cNvPr>
            <xdr:cNvSpPr txBox="1"/>
          </xdr:nvSpPr>
          <xdr:spPr>
            <a:xfrm>
              <a:off x="3069167" y="15250582"/>
              <a:ext cx="2904641" cy="172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l-G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l-G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+1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+1</m:t>
                            </m:r>
                          </m:sub>
                        </m:s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∙%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𝑅𝑖𝑠𝑘𝑠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𝐴𝑏𝑜𝑣𝑒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𝑟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5C052D31-1AA7-EF48-9777-AEC919411315}"/>
                </a:ext>
              </a:extLst>
            </xdr:cNvPr>
            <xdr:cNvSpPr txBox="1"/>
          </xdr:nvSpPr>
          <xdr:spPr>
            <a:xfrm>
              <a:off x="3069167" y="15250582"/>
              <a:ext cx="2904641" cy="172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</a:t>
              </a:r>
              <a:r>
                <a:rPr lang="en-US" sz="1100" b="0" i="0">
                  <a:latin typeface="Cambria Math" panose="02040503050406030204" pitchFamily="18" charset="0"/>
                </a:rPr>
                <a:t>(𝑟_𝑖 )=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</a:t>
              </a:r>
              <a:r>
                <a:rPr lang="en-US" sz="1100" b="0" i="0">
                  <a:latin typeface="Cambria Math" panose="02040503050406030204" pitchFamily="18" charset="0"/>
                </a:rPr>
                <a:t>(𝑟_(𝑖+1) )+(𝑟_(𝑖+1)−𝑟_𝑖 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∙%𝑅𝑖𝑠𝑘𝑠 〖𝐴𝑏𝑜𝑣𝑒 𝑟〗_𝑖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421704</xdr:colOff>
      <xdr:row>28</xdr:row>
      <xdr:rowOff>806774</xdr:rowOff>
    </xdr:from>
    <xdr:ext cx="1040991" cy="3508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6DFBEE1-7C8E-6D47-BBA6-A43B4D89B6A5}"/>
                </a:ext>
              </a:extLst>
            </xdr:cNvPr>
            <xdr:cNvSpPr txBox="1"/>
          </xdr:nvSpPr>
          <xdr:spPr>
            <a:xfrm>
              <a:off x="4549204" y="6574691"/>
              <a:ext cx="1040991" cy="3508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2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𝐸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𝐸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[</m:t>
                        </m:r>
                        <m:sSub>
                          <m:sSub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sub>
                        </m:sSub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]</m:t>
                        </m:r>
                      </m:num>
                      <m:den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𝐸</m:t>
                        </m:r>
                      </m:den>
                    </m:f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6DFBEE1-7C8E-6D47-BBA6-A43B4D89B6A5}"/>
                </a:ext>
              </a:extLst>
            </xdr:cNvPr>
            <xdr:cNvSpPr txBox="1"/>
          </xdr:nvSpPr>
          <xdr:spPr>
            <a:xfrm>
              <a:off x="4549204" y="6574691"/>
              <a:ext cx="1040991" cy="3508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𝑘=  (𝐸−𝐸[𝐴_𝐷])/𝐸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6</xdr:col>
      <xdr:colOff>222250</xdr:colOff>
      <xdr:row>56</xdr:row>
      <xdr:rowOff>52917</xdr:rowOff>
    </xdr:from>
    <xdr:ext cx="147662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9E8C54EE-5887-BC49-B173-9240DF1A4F7F}"/>
                </a:ext>
              </a:extLst>
            </xdr:cNvPr>
            <xdr:cNvSpPr txBox="1"/>
          </xdr:nvSpPr>
          <xdr:spPr>
            <a:xfrm>
              <a:off x="5175250" y="12530667"/>
              <a:ext cx="147662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𝝍</m:t>
                        </m:r>
                        <m:r>
                          <m:rPr>
                            <m:nor/>
                          </m:rPr>
                          <a:rPr lang="en-US">
                            <a:effectLst/>
                          </a:rPr>
                          <m:t> 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𝐷</m:t>
                        </m:r>
                      </m:sub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∗</m:t>
                        </m:r>
                      </m:sup>
                    </m:sSubSup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sSubSup>
                      <m:sSub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l-GR" sz="1100" b="0" i="1">
                            <a:latin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𝐷</m:t>
                        </m:r>
                      </m:sub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∗</m:t>
                        </m:r>
                      </m:sup>
                    </m:sSubSup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𝑟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−1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9E8C54EE-5887-BC49-B173-9240DF1A4F7F}"/>
                </a:ext>
              </a:extLst>
            </xdr:cNvPr>
            <xdr:cNvSpPr txBox="1"/>
          </xdr:nvSpPr>
          <xdr:spPr>
            <a:xfrm>
              <a:off x="5175250" y="12530667"/>
              <a:ext cx="147662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〖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𝝍"</a:t>
              </a:r>
              <a:r>
                <a:rPr lang="en-US" i="0">
                  <a:effectLst/>
                </a:rPr>
                <a:t> </a:t>
              </a:r>
              <a:r>
                <a:rPr lang="en-US" i="0">
                  <a:effectLst/>
                  <a:latin typeface="Cambria Math" panose="02040503050406030204" pitchFamily="18" charset="0"/>
                </a:rPr>
                <a:t>" </a:t>
              </a:r>
              <a:r>
                <a:rPr lang="en-US" sz="1100" b="0" i="0">
                  <a:effectLst/>
                  <a:latin typeface="Cambria Math" panose="02040503050406030204" pitchFamily="18" charset="0"/>
                </a:rPr>
                <a:t>〗_</a:t>
              </a:r>
              <a:r>
                <a:rPr lang="en-US" sz="1100" b="0" i="0">
                  <a:latin typeface="Cambria Math" panose="02040503050406030204" pitchFamily="18" charset="0"/>
                </a:rPr>
                <a:t>𝐷^∗ (𝑟)=</a:t>
              </a:r>
              <a:r>
                <a:rPr lang="el-GR" sz="1100" b="0" i="0">
                  <a:latin typeface="Cambria Math" panose="02040503050406030204" pitchFamily="18" charset="0"/>
                </a:rPr>
                <a:t>𝜙</a:t>
              </a:r>
              <a:r>
                <a:rPr lang="en-US" sz="1100" b="0" i="0">
                  <a:latin typeface="Cambria Math" panose="02040503050406030204" pitchFamily="18" charset="0"/>
                </a:rPr>
                <a:t>_𝐷^∗ (𝑟)+𝑟−1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148166</xdr:colOff>
      <xdr:row>45</xdr:row>
      <xdr:rowOff>137583</xdr:rowOff>
    </xdr:from>
    <xdr:ext cx="2904641" cy="1720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EA3033D-20B4-9F4E-8426-B937F546B372}"/>
                </a:ext>
              </a:extLst>
            </xdr:cNvPr>
            <xdr:cNvSpPr txBox="1"/>
          </xdr:nvSpPr>
          <xdr:spPr>
            <a:xfrm>
              <a:off x="2624666" y="10329333"/>
              <a:ext cx="2904641" cy="172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l-G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l-G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+1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+1</m:t>
                            </m:r>
                          </m:sub>
                        </m:s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∙%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𝑅𝑖𝑠𝑘𝑠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𝐴𝑏𝑜𝑣𝑒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𝑟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EA3033D-20B4-9F4E-8426-B937F546B372}"/>
                </a:ext>
              </a:extLst>
            </xdr:cNvPr>
            <xdr:cNvSpPr txBox="1"/>
          </xdr:nvSpPr>
          <xdr:spPr>
            <a:xfrm>
              <a:off x="2624666" y="10329333"/>
              <a:ext cx="2904641" cy="172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</a:t>
              </a:r>
              <a:r>
                <a:rPr lang="en-US" sz="1100" b="0" i="0">
                  <a:latin typeface="Cambria Math" panose="02040503050406030204" pitchFamily="18" charset="0"/>
                </a:rPr>
                <a:t>(𝑟_𝑖 )=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</a:t>
              </a:r>
              <a:r>
                <a:rPr lang="en-US" sz="1100" b="0" i="0">
                  <a:latin typeface="Cambria Math" panose="02040503050406030204" pitchFamily="18" charset="0"/>
                </a:rPr>
                <a:t>(𝑟_(𝑖+1) )+(𝑟_(𝑖+1)−𝑟_𝑖 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∙%𝑅𝑖𝑠𝑘𝑠 〖𝐴𝑏𝑜𝑣𝑒 𝑟〗_𝑖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190500</xdr:colOff>
      <xdr:row>47</xdr:row>
      <xdr:rowOff>116416</xdr:rowOff>
    </xdr:from>
    <xdr:ext cx="129573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53382E0A-0148-4340-9798-B8C8AB2B9B4D}"/>
                </a:ext>
              </a:extLst>
            </xdr:cNvPr>
            <xdr:cNvSpPr txBox="1"/>
          </xdr:nvSpPr>
          <xdr:spPr>
            <a:xfrm>
              <a:off x="2667000" y="10710333"/>
              <a:ext cx="12957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𝜓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 panose="02040503050406030204" pitchFamily="18" charset="0"/>
                      </a:rPr>
                      <m:t>Φ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𝑟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−1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53382E0A-0148-4340-9798-B8C8AB2B9B4D}"/>
                </a:ext>
              </a:extLst>
            </xdr:cNvPr>
            <xdr:cNvSpPr txBox="1"/>
          </xdr:nvSpPr>
          <xdr:spPr>
            <a:xfrm>
              <a:off x="2667000" y="10710333"/>
              <a:ext cx="129573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𝜓</a:t>
              </a:r>
              <a:r>
                <a:rPr lang="en-US" sz="1100" b="0" i="0">
                  <a:latin typeface="Cambria Math" panose="02040503050406030204" pitchFamily="18" charset="0"/>
                </a:rPr>
                <a:t>(𝑟)=</a:t>
              </a:r>
              <a:r>
                <a:rPr lang="el-GR" sz="1100" b="0" i="0">
                  <a:latin typeface="Cambria Math" panose="02040503050406030204" pitchFamily="18" charset="0"/>
                </a:rPr>
                <a:t>Φ</a:t>
              </a:r>
              <a:r>
                <a:rPr lang="en-US" sz="1100" b="0" i="0">
                  <a:latin typeface="Cambria Math" panose="02040503050406030204" pitchFamily="18" charset="0"/>
                </a:rPr>
                <a:t>(𝑟)+𝑟−1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63500</xdr:colOff>
      <xdr:row>72</xdr:row>
      <xdr:rowOff>10584</xdr:rowOff>
    </xdr:from>
    <xdr:ext cx="1677511" cy="326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1D361034-E98D-0A41-B49A-D461A69CB52E}"/>
                </a:ext>
              </a:extLst>
            </xdr:cNvPr>
            <xdr:cNvSpPr txBox="1"/>
          </xdr:nvSpPr>
          <xdr:spPr>
            <a:xfrm>
              <a:off x="3365500" y="16023167"/>
              <a:ext cx="1677511" cy="326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𝜓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pHide m:val="on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n-US" sz="11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𝑖𝑠𝑘𝑠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&lt;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sub>
                          <m:sup/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𝑅𝑖𝑠𝑘</m:t>
                                </m:r>
                              </m:sub>
                            </m:s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</m:nary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1D361034-E98D-0A41-B49A-D461A69CB52E}"/>
                </a:ext>
              </a:extLst>
            </xdr:cNvPr>
            <xdr:cNvSpPr txBox="1"/>
          </xdr:nvSpPr>
          <xdr:spPr>
            <a:xfrm>
              <a:off x="3365500" y="16023167"/>
              <a:ext cx="1677511" cy="326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𝜓</a:t>
              </a:r>
              <a:r>
                <a:rPr lang="en-US" sz="1100" b="0" i="0">
                  <a:latin typeface="Cambria Math" panose="02040503050406030204" pitchFamily="18" charset="0"/>
                </a:rPr>
                <a:t>(𝑟)=  (∑_(𝑅𝑖𝑠𝑘𝑠&lt;𝑟)▒〖(𝑟−𝑟_𝑅𝑖𝑠𝑘)〗)/𝑛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391583</xdr:colOff>
      <xdr:row>72</xdr:row>
      <xdr:rowOff>21167</xdr:rowOff>
    </xdr:from>
    <xdr:ext cx="1677832" cy="326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B5B9424F-290E-B844-89EB-6FF9C497B806}"/>
                </a:ext>
              </a:extLst>
            </xdr:cNvPr>
            <xdr:cNvSpPr txBox="1"/>
          </xdr:nvSpPr>
          <xdr:spPr>
            <a:xfrm>
              <a:off x="1217083" y="16033750"/>
              <a:ext cx="1677832" cy="326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l-G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pHide m:val="on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n-US" sz="11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𝑖𝑠𝑘𝑠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&gt;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sub>
                          <m:sup/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𝑅𝑖𝑠𝑘</m:t>
                                </m:r>
                              </m:sub>
                            </m:s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</m:nary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B5B9424F-290E-B844-89EB-6FF9C497B806}"/>
                </a:ext>
              </a:extLst>
            </xdr:cNvPr>
            <xdr:cNvSpPr txBox="1"/>
          </xdr:nvSpPr>
          <xdr:spPr>
            <a:xfrm>
              <a:off x="1217083" y="16033750"/>
              <a:ext cx="1677832" cy="326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</a:t>
              </a:r>
              <a:r>
                <a:rPr lang="en-US" sz="1100" b="0" i="0">
                  <a:latin typeface="Cambria Math" panose="02040503050406030204" pitchFamily="18" charset="0"/>
                </a:rPr>
                <a:t>(𝑟)=  (∑_(𝑅𝑖𝑠𝑘𝑠&gt;𝑟)▒〖(𝑟_𝑅𝑖𝑠𝑘−𝑟)〗)/𝑛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283308</xdr:colOff>
      <xdr:row>37</xdr:row>
      <xdr:rowOff>0</xdr:rowOff>
    </xdr:from>
    <xdr:ext cx="1040991" cy="3508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A8EEB383-EB40-2948-ABD8-2148B3CB276A}"/>
                </a:ext>
              </a:extLst>
            </xdr:cNvPr>
            <xdr:cNvSpPr txBox="1"/>
          </xdr:nvSpPr>
          <xdr:spPr>
            <a:xfrm>
              <a:off x="2759808" y="8265583"/>
              <a:ext cx="1040991" cy="3508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2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𝐸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𝐸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[</m:t>
                        </m:r>
                        <m:sSub>
                          <m:sSub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sub>
                        </m:sSub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]</m:t>
                        </m:r>
                      </m:num>
                      <m:den>
                        <m:r>
                          <a:rPr lang="en-US" sz="1200" b="0" i="1">
                            <a:latin typeface="Cambria Math" panose="02040503050406030204" pitchFamily="18" charset="0"/>
                          </a:rPr>
                          <m:t>𝐸</m:t>
                        </m:r>
                      </m:den>
                    </m:f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A8EEB383-EB40-2948-ABD8-2148B3CB276A}"/>
                </a:ext>
              </a:extLst>
            </xdr:cNvPr>
            <xdr:cNvSpPr txBox="1"/>
          </xdr:nvSpPr>
          <xdr:spPr>
            <a:xfrm>
              <a:off x="2774462" y="8167077"/>
              <a:ext cx="1040991" cy="3508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𝑘=  (𝐸−𝐸[𝐴_𝐷])/𝐸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3</xdr:col>
      <xdr:colOff>348436</xdr:colOff>
      <xdr:row>41</xdr:row>
      <xdr:rowOff>42334</xdr:rowOff>
    </xdr:from>
    <xdr:ext cx="657488" cy="3781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C4D3A7F-198B-AB47-B58C-3B8023130280}"/>
                </a:ext>
              </a:extLst>
            </xdr:cNvPr>
            <xdr:cNvSpPr txBox="1"/>
          </xdr:nvSpPr>
          <xdr:spPr>
            <a:xfrm>
              <a:off x="2824936" y="8900584"/>
              <a:ext cx="657488" cy="3781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200" b="0" i="1">
                        <a:latin typeface="Cambria Math" panose="02040503050406030204" pitchFamily="18" charset="0"/>
                      </a:rPr>
                      <m:t>𝑟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𝐿𝑖𝑚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𝐸</m:t>
                            </m:r>
                          </m:e>
                          <m:sub>
                            <m:r>
                              <a:rPr lang="en-US" sz="1200" b="0" i="1">
                                <a:latin typeface="Cambria Math" panose="02040503050406030204" pitchFamily="18" charset="0"/>
                              </a:rPr>
                              <m:t>𝐿𝑖𝑚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C4D3A7F-198B-AB47-B58C-3B8023130280}"/>
                </a:ext>
              </a:extLst>
            </xdr:cNvPr>
            <xdr:cNvSpPr txBox="1"/>
          </xdr:nvSpPr>
          <xdr:spPr>
            <a:xfrm>
              <a:off x="2824936" y="8900584"/>
              <a:ext cx="657488" cy="3781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𝑟=  𝐴_𝐿𝑖𝑚/𝐸_𝐿𝑖𝑚 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</xdr:col>
      <xdr:colOff>783167</xdr:colOff>
      <xdr:row>69</xdr:row>
      <xdr:rowOff>127000</xdr:rowOff>
    </xdr:from>
    <xdr:ext cx="2649059" cy="1832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7725F985-A312-BC4B-929B-BBACA7468747}"/>
                </a:ext>
              </a:extLst>
            </xdr:cNvPr>
            <xdr:cNvSpPr txBox="1"/>
          </xdr:nvSpPr>
          <xdr:spPr>
            <a:xfrm>
              <a:off x="1608667" y="14869583"/>
              <a:ext cx="2649059" cy="1832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𝐸</m:t>
                    </m:r>
                    <m:d>
                      <m:dPr>
                        <m:begChr m:val="["/>
                        <m:endChr m:val="]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𝐿𝑜𝑠𝑠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𝐶𝑜𝑠𝑡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>
                      <m:rPr>
                        <m:sty m:val="p"/>
                      </m:rPr>
                      <a:rPr lang="en-US" sz="1100" b="0" i="0">
                        <a:latin typeface="Cambria Math" panose="02040503050406030204" pitchFamily="18" charset="0"/>
                      </a:rPr>
                      <m:t>E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[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]+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l-GR" sz="1100" b="0" i="1">
                            <a:latin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𝑟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𝐴𝑔𝑔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)∙</m:t>
                    </m:r>
                    <m:r>
                      <m:rPr>
                        <m:sty m:val="p"/>
                      </m:rPr>
                      <a:rPr lang="en-US" sz="1100" b="0" i="0">
                        <a:latin typeface="Cambria Math" panose="02040503050406030204" pitchFamily="18" charset="0"/>
                      </a:rPr>
                      <m:t>E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[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𝐷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]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7725F985-A312-BC4B-929B-BBACA7468747}"/>
                </a:ext>
              </a:extLst>
            </xdr:cNvPr>
            <xdr:cNvSpPr txBox="1"/>
          </xdr:nvSpPr>
          <xdr:spPr>
            <a:xfrm>
              <a:off x="1608667" y="14869583"/>
              <a:ext cx="2649059" cy="1832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𝐸[𝐿𝑜𝑠𝑠 𝐶𝑜𝑠𝑡]=𝑘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sz="1100" b="0" i="0">
                  <a:latin typeface="Cambria Math" panose="02040503050406030204" pitchFamily="18" charset="0"/>
                </a:rPr>
                <a:t>E[𝐴]+</a:t>
              </a:r>
              <a:r>
                <a:rPr lang="el-GR" sz="1100" b="0" i="0">
                  <a:latin typeface="Cambria Math" panose="02040503050406030204" pitchFamily="18" charset="0"/>
                </a:rPr>
                <a:t>𝜙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_𝐷 (𝑟_𝐴𝑔𝑔)∙</a:t>
              </a:r>
              <a:r>
                <a:rPr lang="en-US" sz="1100" b="0" i="0">
                  <a:latin typeface="Cambria Math" panose="02040503050406030204" pitchFamily="18" charset="0"/>
                </a:rPr>
                <a:t>E[𝐴_𝐷]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31750</xdr:colOff>
      <xdr:row>60</xdr:row>
      <xdr:rowOff>169333</xdr:rowOff>
    </xdr:from>
    <xdr:ext cx="1759905" cy="326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35095B6-F703-9B4D-ABCF-C5573FEF2C6D}"/>
                </a:ext>
              </a:extLst>
            </xdr:cNvPr>
            <xdr:cNvSpPr txBox="1"/>
          </xdr:nvSpPr>
          <xdr:spPr>
            <a:xfrm>
              <a:off x="1682750" y="13102166"/>
              <a:ext cx="1759905" cy="326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l-GR" sz="1100" b="0" i="1">
                            <a:latin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𝐷</m:t>
                        </m:r>
                      </m:sub>
                    </m:sSub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pHide m:val="on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n-US" sz="11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𝑖𝑠𝑘𝑠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&gt;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sub>
                          <m:sup/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𝑅𝑖𝑠𝑘</m:t>
                                </m:r>
                              </m:sub>
                            </m:s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</m:nary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35095B6-F703-9B4D-ABCF-C5573FEF2C6D}"/>
                </a:ext>
              </a:extLst>
            </xdr:cNvPr>
            <xdr:cNvSpPr txBox="1"/>
          </xdr:nvSpPr>
          <xdr:spPr>
            <a:xfrm>
              <a:off x="1682750" y="13102166"/>
              <a:ext cx="1759905" cy="326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l-GR" sz="1100" b="0" i="0">
                  <a:latin typeface="Cambria Math" panose="02040503050406030204" pitchFamily="18" charset="0"/>
                </a:rPr>
                <a:t>𝜙</a:t>
              </a:r>
              <a:r>
                <a:rPr lang="en-US" sz="1100" b="0" i="0">
                  <a:latin typeface="Cambria Math" panose="02040503050406030204" pitchFamily="18" charset="0"/>
                </a:rPr>
                <a:t>_𝐷 (𝑟)=  (∑_(𝑅𝑖𝑠𝑘𝑠&gt;𝑟)▒〖(𝑟_𝑅𝑖𝑠𝑘−𝑟)〗)/𝑛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C0417-333A-C74D-AF10-2C325C29912E}">
  <dimension ref="A1:BM230"/>
  <sheetViews>
    <sheetView showGridLines="0" tabSelected="1" zoomScale="120" zoomScaleNormal="120" workbookViewId="0"/>
  </sheetViews>
  <sheetFormatPr baseColWidth="10" defaultRowHeight="16" x14ac:dyDescent="0.2"/>
  <cols>
    <col min="1" max="16384" width="10.83203125" style="18"/>
  </cols>
  <sheetData>
    <row r="1" spans="1:10" ht="19" x14ac:dyDescent="0.2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"/>
    </row>
    <row r="2" spans="1:10" x14ac:dyDescent="0.2">
      <c r="A2" s="19"/>
      <c r="B2" s="17"/>
      <c r="C2" s="17"/>
      <c r="D2" s="17"/>
      <c r="E2" s="17"/>
      <c r="F2" s="17"/>
      <c r="G2" s="17"/>
      <c r="H2" s="17"/>
      <c r="I2" s="17"/>
      <c r="J2" s="1"/>
    </row>
    <row r="3" spans="1:10" ht="19" x14ac:dyDescent="0.25">
      <c r="A3" s="19"/>
      <c r="B3" s="136" t="s">
        <v>8</v>
      </c>
      <c r="C3" s="17"/>
      <c r="D3" s="17"/>
      <c r="E3" s="17"/>
      <c r="F3" s="17"/>
      <c r="G3" s="17"/>
      <c r="H3" s="17"/>
      <c r="I3" s="17"/>
      <c r="J3" s="1"/>
    </row>
    <row r="4" spans="1:10" x14ac:dyDescent="0.2">
      <c r="A4" s="19"/>
      <c r="B4" s="17" t="s">
        <v>15</v>
      </c>
      <c r="C4" s="17"/>
      <c r="D4" s="17"/>
      <c r="E4" s="17"/>
      <c r="F4" s="17"/>
      <c r="G4" s="17"/>
      <c r="H4" s="17"/>
      <c r="I4" s="17"/>
      <c r="J4" s="1"/>
    </row>
    <row r="5" spans="1:10" x14ac:dyDescent="0.2">
      <c r="A5" s="19"/>
      <c r="B5" s="17" t="s">
        <v>16</v>
      </c>
      <c r="C5" s="17"/>
      <c r="D5" s="17"/>
      <c r="E5" s="17"/>
      <c r="F5" s="17"/>
      <c r="G5" s="17"/>
      <c r="H5" s="17"/>
      <c r="I5" s="17"/>
      <c r="J5" s="1"/>
    </row>
    <row r="6" spans="1:10" x14ac:dyDescent="0.2">
      <c r="A6" s="19"/>
      <c r="B6" s="17"/>
      <c r="C6" s="17"/>
      <c r="D6" s="17"/>
      <c r="E6" s="17"/>
      <c r="F6" s="17"/>
      <c r="G6" s="17"/>
      <c r="H6" s="17"/>
      <c r="I6" s="17"/>
      <c r="J6" s="1"/>
    </row>
    <row r="7" spans="1:10" x14ac:dyDescent="0.2">
      <c r="A7" s="19"/>
      <c r="B7" s="17"/>
      <c r="C7" s="17"/>
      <c r="D7" s="27" t="s">
        <v>17</v>
      </c>
      <c r="E7" s="33">
        <v>75000</v>
      </c>
      <c r="F7" s="17"/>
      <c r="G7" s="17"/>
      <c r="H7" s="17"/>
      <c r="I7" s="17"/>
      <c r="J7" s="1"/>
    </row>
    <row r="8" spans="1:10" x14ac:dyDescent="0.2">
      <c r="A8" s="19"/>
      <c r="B8" s="17"/>
      <c r="C8" s="17"/>
      <c r="D8" s="27" t="s">
        <v>18</v>
      </c>
      <c r="E8" s="28">
        <v>0.5</v>
      </c>
      <c r="F8" s="17"/>
      <c r="G8" s="17"/>
      <c r="H8" s="17"/>
      <c r="I8" s="17"/>
      <c r="J8" s="1"/>
    </row>
    <row r="9" spans="1:10" x14ac:dyDescent="0.2">
      <c r="A9" s="19"/>
      <c r="B9" s="17"/>
      <c r="C9" s="17"/>
      <c r="D9" s="27" t="s">
        <v>19</v>
      </c>
      <c r="E9" s="61">
        <v>2</v>
      </c>
      <c r="F9" s="17"/>
      <c r="G9" s="17"/>
      <c r="H9" s="17"/>
      <c r="I9" s="17"/>
      <c r="J9" s="1"/>
    </row>
    <row r="10" spans="1:10" x14ac:dyDescent="0.2">
      <c r="A10" s="19"/>
      <c r="B10" s="17"/>
      <c r="C10" s="17"/>
      <c r="D10" s="27" t="s">
        <v>34</v>
      </c>
      <c r="E10" s="33">
        <v>250000</v>
      </c>
      <c r="F10" s="17"/>
      <c r="G10" s="17"/>
      <c r="H10" s="17"/>
      <c r="I10" s="17"/>
      <c r="J10" s="1"/>
    </row>
    <row r="11" spans="1:10" x14ac:dyDescent="0.2">
      <c r="A11" s="19"/>
      <c r="B11" s="17"/>
      <c r="C11" s="17"/>
      <c r="D11" s="27" t="s">
        <v>28</v>
      </c>
      <c r="E11" s="34">
        <v>500000</v>
      </c>
      <c r="F11" s="17"/>
      <c r="G11" s="17"/>
      <c r="H11" s="17"/>
      <c r="I11" s="17"/>
      <c r="J11" s="1"/>
    </row>
    <row r="12" spans="1:10" x14ac:dyDescent="0.2">
      <c r="A12" s="19"/>
      <c r="B12" s="17"/>
      <c r="C12" s="17"/>
      <c r="D12" s="27" t="s">
        <v>29</v>
      </c>
      <c r="E12" s="34">
        <v>750000</v>
      </c>
      <c r="F12" s="17"/>
      <c r="G12" s="17"/>
      <c r="H12" s="17"/>
      <c r="I12" s="17"/>
      <c r="J12" s="1"/>
    </row>
    <row r="13" spans="1:10" x14ac:dyDescent="0.2">
      <c r="A13" s="19"/>
      <c r="B13" s="17"/>
      <c r="C13" s="17"/>
      <c r="D13" s="17"/>
      <c r="E13" s="17"/>
      <c r="F13" s="17"/>
      <c r="G13" s="17"/>
      <c r="H13" s="17"/>
      <c r="I13" s="17"/>
      <c r="J13" s="1"/>
    </row>
    <row r="14" spans="1:10" x14ac:dyDescent="0.2">
      <c r="A14" s="19"/>
      <c r="B14" s="17" t="s">
        <v>21</v>
      </c>
      <c r="C14" s="17"/>
      <c r="D14" s="17"/>
      <c r="E14" s="17"/>
      <c r="F14" s="17"/>
      <c r="G14" s="17"/>
      <c r="H14" s="17"/>
      <c r="I14" s="17"/>
      <c r="J14" s="1"/>
    </row>
    <row r="15" spans="1:10" x14ac:dyDescent="0.2">
      <c r="A15" s="19"/>
      <c r="B15" s="17"/>
      <c r="C15" s="17"/>
      <c r="D15" s="27" t="s">
        <v>22</v>
      </c>
      <c r="E15" s="65">
        <v>0.5</v>
      </c>
      <c r="F15" s="17"/>
      <c r="G15" s="17"/>
      <c r="H15" s="17"/>
      <c r="I15" s="17"/>
      <c r="J15" s="1"/>
    </row>
    <row r="16" spans="1:10" x14ac:dyDescent="0.2">
      <c r="A16" s="19"/>
      <c r="B16" s="17"/>
      <c r="C16" s="17"/>
      <c r="D16" s="27" t="s">
        <v>23</v>
      </c>
      <c r="E16" s="65">
        <v>0.3</v>
      </c>
      <c r="F16" s="17"/>
      <c r="G16" s="17"/>
      <c r="H16" s="17"/>
      <c r="I16" s="17"/>
      <c r="J16" s="1"/>
    </row>
    <row r="17" spans="1:10" x14ac:dyDescent="0.2">
      <c r="A17" s="19"/>
      <c r="B17" s="17"/>
      <c r="C17" s="17"/>
      <c r="D17" s="17"/>
      <c r="E17" s="17"/>
      <c r="F17" s="17"/>
      <c r="G17" s="17"/>
      <c r="H17" s="17"/>
      <c r="I17" s="17"/>
      <c r="J17" s="1"/>
    </row>
    <row r="18" spans="1:10" x14ac:dyDescent="0.2">
      <c r="A18" s="19"/>
      <c r="B18" s="17" t="s">
        <v>24</v>
      </c>
      <c r="C18" s="17"/>
      <c r="D18" s="17"/>
      <c r="E18" s="17"/>
      <c r="F18" s="17"/>
      <c r="G18" s="17"/>
      <c r="H18" s="17"/>
      <c r="I18" s="17"/>
      <c r="J18" s="1"/>
    </row>
    <row r="19" spans="1:10" x14ac:dyDescent="0.2">
      <c r="A19" s="19"/>
      <c r="B19" s="17"/>
      <c r="C19" s="17"/>
      <c r="D19" s="17"/>
      <c r="E19" s="17"/>
      <c r="F19" s="17"/>
      <c r="G19" s="17"/>
      <c r="H19" s="17"/>
      <c r="I19" s="17"/>
      <c r="J19" s="1"/>
    </row>
    <row r="20" spans="1:10" x14ac:dyDescent="0.2">
      <c r="A20" s="19"/>
      <c r="B20" s="17"/>
      <c r="C20" s="17"/>
      <c r="D20" s="51"/>
      <c r="E20" s="208" t="s">
        <v>26</v>
      </c>
      <c r="F20" s="17"/>
      <c r="G20" s="17"/>
      <c r="H20" s="17"/>
      <c r="I20" s="17"/>
      <c r="J20" s="1"/>
    </row>
    <row r="21" spans="1:10" x14ac:dyDescent="0.2">
      <c r="A21" s="19"/>
      <c r="B21" s="17"/>
      <c r="C21" s="17"/>
      <c r="D21" s="3" t="s">
        <v>27</v>
      </c>
      <c r="E21" s="211"/>
      <c r="F21" s="17"/>
      <c r="G21" s="17"/>
      <c r="H21" s="17"/>
      <c r="I21" s="17"/>
      <c r="J21" s="1"/>
    </row>
    <row r="22" spans="1:10" x14ac:dyDescent="0.2">
      <c r="A22" s="19"/>
      <c r="B22" s="17"/>
      <c r="C22" s="17"/>
      <c r="D22" s="2">
        <v>1</v>
      </c>
      <c r="E22" s="28">
        <v>50</v>
      </c>
      <c r="F22" s="17"/>
      <c r="G22" s="17"/>
      <c r="H22" s="17"/>
      <c r="I22" s="17"/>
      <c r="J22" s="1"/>
    </row>
    <row r="23" spans="1:10" x14ac:dyDescent="0.2">
      <c r="A23" s="19"/>
      <c r="B23" s="17"/>
      <c r="C23" s="17"/>
      <c r="D23" s="2">
        <v>2</v>
      </c>
      <c r="E23" s="28">
        <v>100</v>
      </c>
      <c r="F23" s="17"/>
      <c r="G23" s="17"/>
      <c r="H23" s="17"/>
      <c r="I23" s="17"/>
      <c r="J23" s="1"/>
    </row>
    <row r="24" spans="1:10" x14ac:dyDescent="0.2">
      <c r="A24" s="19"/>
      <c r="B24" s="17"/>
      <c r="C24" s="17"/>
      <c r="D24" s="2">
        <v>3</v>
      </c>
      <c r="E24" s="28">
        <v>80</v>
      </c>
      <c r="F24" s="17"/>
      <c r="G24" s="17"/>
      <c r="H24" s="17"/>
      <c r="I24" s="17"/>
      <c r="J24" s="1"/>
    </row>
    <row r="25" spans="1:10" x14ac:dyDescent="0.2">
      <c r="A25" s="19"/>
      <c r="B25" s="17"/>
      <c r="C25" s="17"/>
      <c r="D25" s="2">
        <v>4</v>
      </c>
      <c r="E25" s="28">
        <v>25</v>
      </c>
      <c r="F25" s="17"/>
      <c r="G25" s="17"/>
      <c r="H25" s="17"/>
      <c r="I25" s="17"/>
      <c r="J25" s="1"/>
    </row>
    <row r="26" spans="1:10" x14ac:dyDescent="0.2">
      <c r="A26" s="19"/>
      <c r="B26" s="17"/>
      <c r="C26" s="17"/>
      <c r="D26" s="2">
        <v>5</v>
      </c>
      <c r="E26" s="28">
        <v>300</v>
      </c>
      <c r="F26" s="17"/>
      <c r="G26" s="17"/>
      <c r="H26" s="17"/>
      <c r="I26" s="17"/>
      <c r="J26" s="1"/>
    </row>
    <row r="27" spans="1:10" x14ac:dyDescent="0.2">
      <c r="A27" s="19"/>
      <c r="B27" s="17"/>
      <c r="C27" s="17"/>
      <c r="D27" s="2">
        <v>6</v>
      </c>
      <c r="E27" s="28">
        <v>250</v>
      </c>
      <c r="F27" s="17"/>
      <c r="G27" s="17"/>
      <c r="H27" s="17"/>
      <c r="I27" s="17"/>
      <c r="J27" s="1"/>
    </row>
    <row r="28" spans="1:10" x14ac:dyDescent="0.2">
      <c r="A28" s="19"/>
      <c r="B28" s="17"/>
      <c r="C28" s="17"/>
      <c r="D28" s="2">
        <v>7</v>
      </c>
      <c r="E28" s="28">
        <v>60</v>
      </c>
      <c r="F28" s="17"/>
      <c r="G28" s="17"/>
      <c r="H28" s="17"/>
      <c r="I28" s="17"/>
      <c r="J28" s="1"/>
    </row>
    <row r="29" spans="1:10" x14ac:dyDescent="0.2">
      <c r="A29" s="19"/>
      <c r="B29" s="17"/>
      <c r="C29" s="17"/>
      <c r="D29" s="2">
        <v>8</v>
      </c>
      <c r="E29" s="38">
        <v>1000</v>
      </c>
      <c r="F29" s="17"/>
      <c r="G29" s="17"/>
      <c r="H29" s="17"/>
      <c r="I29" s="17"/>
      <c r="J29" s="1"/>
    </row>
    <row r="30" spans="1:10" x14ac:dyDescent="0.2">
      <c r="A30" s="19"/>
      <c r="B30" s="17"/>
      <c r="C30" s="17"/>
      <c r="D30" s="2">
        <v>9</v>
      </c>
      <c r="E30" s="28">
        <v>25</v>
      </c>
      <c r="F30" s="17"/>
      <c r="G30" s="17"/>
      <c r="H30" s="17"/>
      <c r="I30" s="17"/>
      <c r="J30" s="1"/>
    </row>
    <row r="31" spans="1:10" x14ac:dyDescent="0.2">
      <c r="A31" s="19"/>
      <c r="B31" s="17"/>
      <c r="C31" s="17"/>
      <c r="D31" s="2">
        <v>10</v>
      </c>
      <c r="E31" s="28">
        <v>200</v>
      </c>
      <c r="F31" s="17"/>
      <c r="G31" s="17"/>
      <c r="H31" s="17"/>
      <c r="I31" s="17"/>
      <c r="J31" s="1"/>
    </row>
    <row r="32" spans="1:10" x14ac:dyDescent="0.2">
      <c r="A32" s="19"/>
      <c r="B32" s="17"/>
      <c r="C32" s="17"/>
      <c r="D32" s="2">
        <v>11</v>
      </c>
      <c r="E32" s="28">
        <v>150</v>
      </c>
      <c r="F32" s="17"/>
      <c r="G32" s="17"/>
      <c r="H32" s="17"/>
      <c r="I32" s="17"/>
      <c r="J32" s="1"/>
    </row>
    <row r="33" spans="1:10" x14ac:dyDescent="0.2">
      <c r="A33" s="19"/>
      <c r="B33" s="17"/>
      <c r="C33" s="17"/>
      <c r="D33" s="2">
        <v>12</v>
      </c>
      <c r="E33" s="28">
        <v>75</v>
      </c>
      <c r="F33" s="17"/>
      <c r="G33" s="17"/>
      <c r="H33" s="17"/>
      <c r="I33" s="17"/>
      <c r="J33" s="1"/>
    </row>
    <row r="34" spans="1:10" x14ac:dyDescent="0.2">
      <c r="A34" s="19"/>
      <c r="B34" s="17"/>
      <c r="C34" s="17"/>
      <c r="D34" s="2">
        <v>13</v>
      </c>
      <c r="E34" s="28">
        <v>125</v>
      </c>
      <c r="F34" s="17"/>
      <c r="G34" s="17"/>
      <c r="H34" s="17"/>
      <c r="I34" s="17"/>
      <c r="J34" s="1"/>
    </row>
    <row r="35" spans="1:10" x14ac:dyDescent="0.2">
      <c r="A35" s="19"/>
      <c r="B35" s="17"/>
      <c r="C35" s="17"/>
      <c r="D35" s="2">
        <v>14</v>
      </c>
      <c r="E35" s="28">
        <v>60</v>
      </c>
      <c r="F35" s="17"/>
      <c r="G35" s="17"/>
      <c r="H35" s="17"/>
      <c r="I35" s="17"/>
      <c r="J35" s="1"/>
    </row>
    <row r="36" spans="1:10" x14ac:dyDescent="0.2">
      <c r="A36" s="19"/>
      <c r="B36" s="17"/>
      <c r="C36" s="17"/>
      <c r="D36" s="2">
        <v>15</v>
      </c>
      <c r="E36" s="28">
        <v>35</v>
      </c>
      <c r="F36" s="17"/>
      <c r="G36" s="17"/>
      <c r="H36" s="17"/>
      <c r="I36" s="17"/>
      <c r="J36" s="1"/>
    </row>
    <row r="37" spans="1:10" x14ac:dyDescent="0.2">
      <c r="A37" s="19"/>
      <c r="B37" s="17"/>
      <c r="C37" s="17"/>
      <c r="D37" s="2">
        <v>16</v>
      </c>
      <c r="E37" s="28">
        <v>110</v>
      </c>
      <c r="F37" s="17"/>
      <c r="G37" s="17"/>
      <c r="H37" s="17"/>
      <c r="I37" s="17"/>
      <c r="J37" s="1"/>
    </row>
    <row r="38" spans="1:10" x14ac:dyDescent="0.2">
      <c r="A38" s="19"/>
      <c r="B38" s="17"/>
      <c r="C38" s="17"/>
      <c r="D38" s="2">
        <v>17</v>
      </c>
      <c r="E38" s="28">
        <v>100</v>
      </c>
      <c r="F38" s="17"/>
      <c r="G38" s="17"/>
      <c r="H38" s="17"/>
      <c r="I38" s="17"/>
      <c r="J38" s="1"/>
    </row>
    <row r="39" spans="1:10" x14ac:dyDescent="0.2">
      <c r="A39" s="19"/>
      <c r="B39" s="17"/>
      <c r="C39" s="17"/>
      <c r="D39" s="2">
        <v>18</v>
      </c>
      <c r="E39" s="28">
        <v>90</v>
      </c>
      <c r="F39" s="17"/>
      <c r="G39" s="17"/>
      <c r="H39" s="17"/>
      <c r="I39" s="17"/>
      <c r="J39" s="1"/>
    </row>
    <row r="40" spans="1:10" x14ac:dyDescent="0.2">
      <c r="A40" s="19"/>
      <c r="B40" s="17"/>
      <c r="C40" s="17"/>
      <c r="D40" s="2">
        <v>19</v>
      </c>
      <c r="E40" s="28">
        <v>10</v>
      </c>
      <c r="F40" s="17"/>
      <c r="G40" s="17"/>
      <c r="H40" s="17"/>
      <c r="I40" s="17"/>
      <c r="J40" s="1"/>
    </row>
    <row r="41" spans="1:10" x14ac:dyDescent="0.2">
      <c r="A41" s="19"/>
      <c r="B41" s="17"/>
      <c r="C41" s="17"/>
      <c r="D41" s="2">
        <v>20</v>
      </c>
      <c r="E41" s="28">
        <v>400</v>
      </c>
      <c r="F41" s="17"/>
      <c r="G41" s="17"/>
      <c r="H41" s="17"/>
      <c r="I41" s="17"/>
      <c r="J41" s="1"/>
    </row>
    <row r="42" spans="1:10" x14ac:dyDescent="0.2">
      <c r="A42" s="19"/>
      <c r="B42" s="17"/>
      <c r="C42" s="17"/>
      <c r="D42" s="17"/>
      <c r="E42" s="17"/>
      <c r="F42" s="17"/>
      <c r="G42" s="17"/>
      <c r="H42" s="17"/>
      <c r="I42" s="17"/>
      <c r="J42" s="1"/>
    </row>
    <row r="43" spans="1:10" x14ac:dyDescent="0.2">
      <c r="A43" s="19"/>
      <c r="B43" s="17" t="s">
        <v>0</v>
      </c>
      <c r="C43" s="17"/>
      <c r="D43" s="17"/>
      <c r="E43" s="17"/>
      <c r="F43" s="17"/>
      <c r="G43" s="17"/>
      <c r="H43" s="17"/>
      <c r="I43" s="17"/>
      <c r="J43" s="1"/>
    </row>
    <row r="44" spans="1:10" x14ac:dyDescent="0.2">
      <c r="A44" s="19"/>
      <c r="B44" s="17" t="s">
        <v>30</v>
      </c>
      <c r="C44" s="17"/>
      <c r="D44" s="17"/>
      <c r="E44" s="17"/>
      <c r="F44" s="17"/>
      <c r="G44" s="17"/>
      <c r="H44" s="17"/>
      <c r="I44" s="17"/>
      <c r="J44" s="1"/>
    </row>
    <row r="45" spans="1:10" x14ac:dyDescent="0.2">
      <c r="A45" s="19"/>
      <c r="B45" s="17"/>
      <c r="C45" s="17"/>
      <c r="D45" s="17"/>
      <c r="E45" s="17"/>
      <c r="F45" s="17"/>
      <c r="G45" s="17"/>
      <c r="H45" s="17"/>
      <c r="I45" s="17"/>
      <c r="J45" s="1"/>
    </row>
    <row r="46" spans="1:10" x14ac:dyDescent="0.2">
      <c r="A46" s="19"/>
      <c r="B46" s="17" t="s">
        <v>1</v>
      </c>
      <c r="C46" s="17"/>
      <c r="D46" s="17"/>
      <c r="E46" s="17"/>
      <c r="F46" s="17"/>
      <c r="G46" s="17"/>
      <c r="H46" s="17"/>
      <c r="I46" s="17"/>
      <c r="J46" s="1"/>
    </row>
    <row r="47" spans="1:10" x14ac:dyDescent="0.2">
      <c r="A47" s="19"/>
      <c r="B47" s="17" t="s">
        <v>38</v>
      </c>
      <c r="C47" s="17"/>
      <c r="D47" s="17"/>
      <c r="E47" s="17"/>
      <c r="F47" s="17"/>
      <c r="G47" s="17"/>
      <c r="H47" s="17"/>
      <c r="I47" s="17"/>
      <c r="J47" s="1"/>
    </row>
    <row r="48" spans="1:10" ht="17" thickBot="1" x14ac:dyDescent="0.25">
      <c r="A48" s="20"/>
      <c r="B48" s="6"/>
      <c r="C48" s="64"/>
      <c r="D48" s="64"/>
      <c r="E48" s="64"/>
      <c r="F48" s="6"/>
      <c r="G48" s="6"/>
      <c r="H48" s="6"/>
      <c r="I48" s="6"/>
      <c r="J48" s="7"/>
    </row>
    <row r="49" spans="1:12" x14ac:dyDescent="0.2">
      <c r="A49" s="4"/>
      <c r="B49" s="4"/>
      <c r="C49" s="4"/>
      <c r="D49" s="4"/>
      <c r="E49" s="4"/>
      <c r="F49" s="4"/>
      <c r="G49" s="4"/>
      <c r="H49" s="4"/>
      <c r="I49" s="4"/>
    </row>
    <row r="50" spans="1:12" ht="19" x14ac:dyDescent="0.25">
      <c r="A50" s="21" t="s">
        <v>3</v>
      </c>
      <c r="B50" s="4"/>
      <c r="C50" s="4"/>
      <c r="D50" s="4"/>
      <c r="E50" s="4"/>
      <c r="F50" s="4"/>
      <c r="G50" s="4"/>
      <c r="H50" s="4"/>
      <c r="I50" s="4"/>
    </row>
    <row r="51" spans="1:12" x14ac:dyDescent="0.2">
      <c r="A51" s="22"/>
      <c r="B51" s="4" t="s">
        <v>0</v>
      </c>
      <c r="C51" s="23"/>
      <c r="D51" s="4"/>
      <c r="E51" s="4"/>
      <c r="F51" s="4"/>
      <c r="G51" s="4"/>
      <c r="H51" s="4"/>
      <c r="I51" s="4"/>
    </row>
    <row r="52" spans="1:12" x14ac:dyDescent="0.2">
      <c r="A52" s="4"/>
      <c r="B52" s="4" t="s">
        <v>35</v>
      </c>
      <c r="C52" s="4"/>
      <c r="D52" s="4"/>
      <c r="E52" s="4"/>
      <c r="F52" s="4"/>
      <c r="G52" s="4"/>
      <c r="H52" s="4"/>
      <c r="I52" s="4"/>
    </row>
    <row r="53" spans="1:12" x14ac:dyDescent="0.2">
      <c r="A53" s="4"/>
      <c r="B53" s="4" t="s">
        <v>36</v>
      </c>
      <c r="C53" s="4"/>
      <c r="D53" s="4"/>
      <c r="E53" s="4"/>
      <c r="F53" s="4"/>
      <c r="G53" s="4"/>
      <c r="H53" s="4"/>
      <c r="I53" s="4"/>
    </row>
    <row r="54" spans="1:12" x14ac:dyDescent="0.2">
      <c r="A54" s="4"/>
      <c r="B54" s="4"/>
      <c r="C54" s="4"/>
      <c r="D54" s="4"/>
      <c r="E54" s="4"/>
      <c r="F54" s="4"/>
      <c r="G54" s="4"/>
      <c r="H54" s="4"/>
      <c r="I54" s="4"/>
      <c r="L54" s="24"/>
    </row>
    <row r="55" spans="1:12" x14ac:dyDescent="0.2">
      <c r="A55" s="4"/>
      <c r="B55" s="4"/>
      <c r="C55" s="53"/>
      <c r="D55" s="212" t="s">
        <v>26</v>
      </c>
      <c r="E55" s="214" t="s">
        <v>31</v>
      </c>
      <c r="F55" s="216" t="s">
        <v>32</v>
      </c>
      <c r="G55" s="4"/>
      <c r="H55" s="4"/>
      <c r="I55" s="4"/>
      <c r="L55" s="24"/>
    </row>
    <row r="56" spans="1:12" x14ac:dyDescent="0.2">
      <c r="A56" s="4"/>
      <c r="B56" s="4"/>
      <c r="C56" s="37" t="s">
        <v>27</v>
      </c>
      <c r="D56" s="213"/>
      <c r="E56" s="215"/>
      <c r="F56" s="217"/>
      <c r="G56" s="4"/>
      <c r="H56" s="4"/>
      <c r="I56" s="4"/>
      <c r="L56" s="24"/>
    </row>
    <row r="57" spans="1:12" x14ac:dyDescent="0.2">
      <c r="A57" s="4"/>
      <c r="B57" s="4"/>
      <c r="C57" s="50">
        <v>1</v>
      </c>
      <c r="D57" s="50">
        <f>MIN(E22,$E$10/1000)</f>
        <v>50</v>
      </c>
      <c r="E57" s="43">
        <f>MIN(D57,$E$7/1000)</f>
        <v>50</v>
      </c>
      <c r="F57" s="42">
        <f>D57-E57</f>
        <v>0</v>
      </c>
      <c r="G57" s="4"/>
      <c r="H57" s="4"/>
      <c r="I57" s="4"/>
      <c r="L57" s="24"/>
    </row>
    <row r="58" spans="1:12" x14ac:dyDescent="0.2">
      <c r="A58" s="4"/>
      <c r="B58" s="4"/>
      <c r="C58" s="50">
        <v>2</v>
      </c>
      <c r="D58" s="50">
        <f t="shared" ref="D58:D76" si="0">MIN(E23,$E$10/1000)</f>
        <v>100</v>
      </c>
      <c r="E58" s="43">
        <f t="shared" ref="E58:E76" si="1">MIN(D58,$E$7/1000)</f>
        <v>75</v>
      </c>
      <c r="F58" s="42">
        <f>D58-E58</f>
        <v>25</v>
      </c>
      <c r="G58" s="4"/>
      <c r="H58" s="4"/>
      <c r="I58" s="4"/>
      <c r="L58" s="24"/>
    </row>
    <row r="59" spans="1:12" x14ac:dyDescent="0.2">
      <c r="A59" s="4"/>
      <c r="B59" s="4"/>
      <c r="C59" s="50">
        <v>3</v>
      </c>
      <c r="D59" s="50">
        <f t="shared" si="0"/>
        <v>80</v>
      </c>
      <c r="E59" s="43">
        <f t="shared" si="1"/>
        <v>75</v>
      </c>
      <c r="F59" s="42">
        <f t="shared" ref="F59:F76" si="2">D59-E59</f>
        <v>5</v>
      </c>
      <c r="G59" s="4"/>
      <c r="H59" s="4"/>
      <c r="I59" s="4"/>
      <c r="L59" s="24"/>
    </row>
    <row r="60" spans="1:12" x14ac:dyDescent="0.2">
      <c r="A60" s="4"/>
      <c r="B60" s="4"/>
      <c r="C60" s="50">
        <v>4</v>
      </c>
      <c r="D60" s="50">
        <f t="shared" si="0"/>
        <v>25</v>
      </c>
      <c r="E60" s="43">
        <f t="shared" si="1"/>
        <v>25</v>
      </c>
      <c r="F60" s="42">
        <f t="shared" si="2"/>
        <v>0</v>
      </c>
      <c r="G60" s="4"/>
      <c r="H60" s="4"/>
      <c r="I60" s="4"/>
      <c r="L60" s="24"/>
    </row>
    <row r="61" spans="1:12" x14ac:dyDescent="0.2">
      <c r="A61" s="4"/>
      <c r="B61" s="4"/>
      <c r="C61" s="50">
        <v>5</v>
      </c>
      <c r="D61" s="50">
        <f t="shared" si="0"/>
        <v>250</v>
      </c>
      <c r="E61" s="43">
        <f t="shared" si="1"/>
        <v>75</v>
      </c>
      <c r="F61" s="42">
        <f t="shared" si="2"/>
        <v>175</v>
      </c>
      <c r="G61" s="4"/>
      <c r="H61" s="4"/>
      <c r="I61" s="4"/>
      <c r="L61" s="24"/>
    </row>
    <row r="62" spans="1:12" x14ac:dyDescent="0.2">
      <c r="A62" s="4"/>
      <c r="B62" s="4"/>
      <c r="C62" s="50">
        <v>6</v>
      </c>
      <c r="D62" s="50">
        <f t="shared" si="0"/>
        <v>250</v>
      </c>
      <c r="E62" s="43">
        <f t="shared" si="1"/>
        <v>75</v>
      </c>
      <c r="F62" s="42">
        <f t="shared" si="2"/>
        <v>175</v>
      </c>
      <c r="G62" s="4"/>
      <c r="H62" s="4"/>
      <c r="I62" s="4"/>
      <c r="L62" s="24"/>
    </row>
    <row r="63" spans="1:12" x14ac:dyDescent="0.2">
      <c r="A63" s="22"/>
      <c r="B63" s="4"/>
      <c r="C63" s="50">
        <v>7</v>
      </c>
      <c r="D63" s="50">
        <f t="shared" si="0"/>
        <v>60</v>
      </c>
      <c r="E63" s="43">
        <f t="shared" si="1"/>
        <v>60</v>
      </c>
      <c r="F63" s="42">
        <f t="shared" si="2"/>
        <v>0</v>
      </c>
      <c r="G63" s="4"/>
      <c r="H63" s="4"/>
      <c r="I63" s="4"/>
    </row>
    <row r="64" spans="1:12" x14ac:dyDescent="0.2">
      <c r="A64" s="4"/>
      <c r="B64" s="4"/>
      <c r="C64" s="50">
        <v>8</v>
      </c>
      <c r="D64" s="14">
        <f t="shared" si="0"/>
        <v>250</v>
      </c>
      <c r="E64" s="43">
        <f t="shared" si="1"/>
        <v>75</v>
      </c>
      <c r="F64" s="42">
        <f t="shared" si="2"/>
        <v>175</v>
      </c>
      <c r="G64" s="4"/>
      <c r="H64" s="4"/>
      <c r="I64" s="4"/>
    </row>
    <row r="65" spans="1:14" x14ac:dyDescent="0.2">
      <c r="A65" s="4"/>
      <c r="B65" s="4"/>
      <c r="C65" s="50">
        <v>9</v>
      </c>
      <c r="D65" s="50">
        <f t="shared" si="0"/>
        <v>25</v>
      </c>
      <c r="E65" s="43">
        <f t="shared" si="1"/>
        <v>25</v>
      </c>
      <c r="F65" s="42">
        <f t="shared" si="2"/>
        <v>0</v>
      </c>
      <c r="G65" s="4"/>
      <c r="H65" s="4"/>
      <c r="I65" s="4"/>
    </row>
    <row r="66" spans="1:14" x14ac:dyDescent="0.2">
      <c r="A66" s="4"/>
      <c r="B66" s="4"/>
      <c r="C66" s="50">
        <v>10</v>
      </c>
      <c r="D66" s="50">
        <f t="shared" si="0"/>
        <v>200</v>
      </c>
      <c r="E66" s="43">
        <f t="shared" si="1"/>
        <v>75</v>
      </c>
      <c r="F66" s="42">
        <f t="shared" si="2"/>
        <v>125</v>
      </c>
      <c r="G66" s="4"/>
      <c r="H66" s="4"/>
      <c r="I66" s="4"/>
    </row>
    <row r="67" spans="1:14" x14ac:dyDescent="0.2">
      <c r="A67" s="4"/>
      <c r="B67" s="4"/>
      <c r="C67" s="50">
        <v>11</v>
      </c>
      <c r="D67" s="50">
        <f t="shared" si="0"/>
        <v>150</v>
      </c>
      <c r="E67" s="43">
        <f t="shared" si="1"/>
        <v>75</v>
      </c>
      <c r="F67" s="42">
        <f t="shared" si="2"/>
        <v>75</v>
      </c>
      <c r="G67" s="4"/>
      <c r="H67" s="4"/>
      <c r="I67" s="4"/>
    </row>
    <row r="68" spans="1:14" x14ac:dyDescent="0.2">
      <c r="A68" s="4"/>
      <c r="B68" s="4"/>
      <c r="C68" s="50">
        <v>12</v>
      </c>
      <c r="D68" s="50">
        <f t="shared" si="0"/>
        <v>75</v>
      </c>
      <c r="E68" s="43">
        <f t="shared" si="1"/>
        <v>75</v>
      </c>
      <c r="F68" s="42">
        <f t="shared" si="2"/>
        <v>0</v>
      </c>
      <c r="G68" s="4"/>
      <c r="H68" s="4"/>
      <c r="I68" s="4"/>
    </row>
    <row r="69" spans="1:14" x14ac:dyDescent="0.2">
      <c r="A69" s="4"/>
      <c r="B69" s="4"/>
      <c r="C69" s="50">
        <v>13</v>
      </c>
      <c r="D69" s="50">
        <f t="shared" si="0"/>
        <v>125</v>
      </c>
      <c r="E69" s="43">
        <f t="shared" si="1"/>
        <v>75</v>
      </c>
      <c r="F69" s="42">
        <f t="shared" si="2"/>
        <v>50</v>
      </c>
      <c r="G69" s="4"/>
      <c r="H69" s="4"/>
      <c r="I69" s="4"/>
    </row>
    <row r="70" spans="1:14" x14ac:dyDescent="0.2">
      <c r="A70" s="4"/>
      <c r="B70" s="4"/>
      <c r="C70" s="50">
        <v>14</v>
      </c>
      <c r="D70" s="50">
        <f t="shared" si="0"/>
        <v>60</v>
      </c>
      <c r="E70" s="43">
        <f t="shared" si="1"/>
        <v>60</v>
      </c>
      <c r="F70" s="42">
        <f t="shared" si="2"/>
        <v>0</v>
      </c>
      <c r="G70" s="4"/>
      <c r="H70" s="4"/>
      <c r="I70" s="4"/>
    </row>
    <row r="71" spans="1:14" x14ac:dyDescent="0.2">
      <c r="A71" s="4"/>
      <c r="B71" s="4"/>
      <c r="C71" s="50">
        <v>15</v>
      </c>
      <c r="D71" s="50">
        <f t="shared" si="0"/>
        <v>35</v>
      </c>
      <c r="E71" s="43">
        <f t="shared" si="1"/>
        <v>35</v>
      </c>
      <c r="F71" s="42">
        <f t="shared" si="2"/>
        <v>0</v>
      </c>
      <c r="G71" s="4"/>
      <c r="H71" s="4"/>
      <c r="I71" s="4"/>
    </row>
    <row r="72" spans="1:14" x14ac:dyDescent="0.2">
      <c r="A72" s="4"/>
      <c r="B72" s="4"/>
      <c r="C72" s="50">
        <v>16</v>
      </c>
      <c r="D72" s="50">
        <f t="shared" si="0"/>
        <v>110</v>
      </c>
      <c r="E72" s="43">
        <f t="shared" si="1"/>
        <v>75</v>
      </c>
      <c r="F72" s="42">
        <f t="shared" si="2"/>
        <v>35</v>
      </c>
      <c r="G72" s="4"/>
      <c r="H72" s="4"/>
      <c r="I72" s="4"/>
    </row>
    <row r="73" spans="1:14" x14ac:dyDescent="0.2">
      <c r="A73" s="4"/>
      <c r="B73" s="4"/>
      <c r="C73" s="50">
        <v>17</v>
      </c>
      <c r="D73" s="50">
        <f t="shared" si="0"/>
        <v>100</v>
      </c>
      <c r="E73" s="43">
        <f t="shared" si="1"/>
        <v>75</v>
      </c>
      <c r="F73" s="42">
        <f t="shared" si="2"/>
        <v>25</v>
      </c>
      <c r="G73" s="4"/>
      <c r="H73" s="4"/>
      <c r="I73" s="4"/>
    </row>
    <row r="74" spans="1:14" x14ac:dyDescent="0.2">
      <c r="A74" s="22"/>
      <c r="B74" s="4"/>
      <c r="C74" s="50">
        <v>18</v>
      </c>
      <c r="D74" s="50">
        <f t="shared" si="0"/>
        <v>90</v>
      </c>
      <c r="E74" s="43">
        <f t="shared" si="1"/>
        <v>75</v>
      </c>
      <c r="F74" s="42">
        <f t="shared" si="2"/>
        <v>15</v>
      </c>
      <c r="G74" s="4"/>
      <c r="H74" s="4"/>
      <c r="I74" s="4"/>
    </row>
    <row r="75" spans="1:14" x14ac:dyDescent="0.2">
      <c r="A75" s="4"/>
      <c r="B75" s="4"/>
      <c r="C75" s="50">
        <v>19</v>
      </c>
      <c r="D75" s="50">
        <f t="shared" si="0"/>
        <v>10</v>
      </c>
      <c r="E75" s="43">
        <f t="shared" si="1"/>
        <v>10</v>
      </c>
      <c r="F75" s="42">
        <f t="shared" si="2"/>
        <v>0</v>
      </c>
      <c r="G75" s="4"/>
      <c r="H75" s="4"/>
      <c r="I75" s="4"/>
      <c r="L75" s="4"/>
      <c r="M75" s="23"/>
      <c r="N75" s="4"/>
    </row>
    <row r="76" spans="1:14" x14ac:dyDescent="0.2">
      <c r="A76" s="4"/>
      <c r="B76" s="4"/>
      <c r="C76" s="37">
        <v>20</v>
      </c>
      <c r="D76" s="37">
        <f t="shared" si="0"/>
        <v>250</v>
      </c>
      <c r="E76" s="150">
        <f t="shared" si="1"/>
        <v>75</v>
      </c>
      <c r="F76" s="109">
        <f t="shared" si="2"/>
        <v>175</v>
      </c>
      <c r="G76" s="4"/>
      <c r="H76" s="4"/>
      <c r="I76" s="4"/>
      <c r="L76" s="24"/>
      <c r="M76" s="24"/>
      <c r="N76" s="24"/>
    </row>
    <row r="77" spans="1:14" x14ac:dyDescent="0.2">
      <c r="A77" s="4"/>
      <c r="B77" s="4"/>
      <c r="C77" s="43" t="s">
        <v>4</v>
      </c>
      <c r="D77" s="14">
        <f>SUM(D57:D76)</f>
        <v>2295</v>
      </c>
      <c r="E77" s="14">
        <f t="shared" ref="E77:F77" si="3">SUM(E57:E76)</f>
        <v>1240</v>
      </c>
      <c r="F77" s="15">
        <f t="shared" si="3"/>
        <v>1055</v>
      </c>
      <c r="G77" s="4"/>
      <c r="H77" s="4"/>
      <c r="I77" s="4"/>
      <c r="L77" s="24"/>
      <c r="M77" s="24"/>
      <c r="N77" s="24"/>
    </row>
    <row r="78" spans="1:14" x14ac:dyDescent="0.2">
      <c r="A78" s="4"/>
      <c r="B78" s="4"/>
      <c r="C78" s="4"/>
      <c r="D78" s="4"/>
      <c r="E78" s="4"/>
      <c r="F78" s="4"/>
      <c r="G78" s="4"/>
      <c r="H78" s="4"/>
      <c r="I78" s="4"/>
      <c r="L78" s="24"/>
      <c r="M78" s="24"/>
      <c r="N78" s="24"/>
    </row>
    <row r="79" spans="1:14" x14ac:dyDescent="0.2">
      <c r="A79" s="4"/>
      <c r="B79" s="4" t="s">
        <v>33</v>
      </c>
      <c r="C79" s="4"/>
      <c r="D79" s="4"/>
      <c r="E79" s="4"/>
      <c r="F79" s="4"/>
      <c r="G79" s="4"/>
      <c r="H79" s="4"/>
      <c r="I79" s="4"/>
      <c r="L79" s="24"/>
      <c r="M79" s="24"/>
      <c r="N79" s="24"/>
    </row>
    <row r="80" spans="1:14" x14ac:dyDescent="0.2">
      <c r="A80" s="4"/>
      <c r="B80" s="4"/>
      <c r="C80" s="4"/>
      <c r="D80" s="4"/>
      <c r="E80" s="4"/>
      <c r="F80" s="4"/>
      <c r="G80" s="4"/>
      <c r="H80" s="4"/>
      <c r="I80" s="4"/>
      <c r="L80" s="24"/>
      <c r="M80" s="24"/>
      <c r="N80" s="24"/>
    </row>
    <row r="81" spans="1:14" x14ac:dyDescent="0.2">
      <c r="A81" s="4"/>
      <c r="B81" s="4"/>
      <c r="C81" s="4"/>
      <c r="D81" s="4"/>
      <c r="E81" s="4"/>
      <c r="F81" s="4"/>
      <c r="G81" s="4"/>
      <c r="H81" s="4"/>
      <c r="I81" s="4"/>
      <c r="L81" s="24"/>
      <c r="M81" s="24"/>
      <c r="N81" s="24"/>
    </row>
    <row r="82" spans="1:14" x14ac:dyDescent="0.2">
      <c r="A82" s="4"/>
      <c r="B82" s="4"/>
      <c r="C82" s="4"/>
      <c r="D82" s="4"/>
      <c r="E82" s="4"/>
      <c r="F82" s="4"/>
      <c r="G82" s="4"/>
      <c r="H82" s="4"/>
      <c r="I82" s="4"/>
      <c r="L82" s="24"/>
      <c r="M82" s="24"/>
      <c r="N82" s="24"/>
    </row>
    <row r="83" spans="1:14" ht="17" thickBot="1" x14ac:dyDescent="0.25">
      <c r="A83" s="4"/>
      <c r="B83" s="4"/>
      <c r="C83" s="4"/>
      <c r="D83" s="4"/>
      <c r="E83" s="4"/>
      <c r="F83" s="4"/>
      <c r="G83" s="4"/>
      <c r="H83" s="4"/>
      <c r="I83" s="4"/>
      <c r="L83" s="24"/>
      <c r="M83" s="24"/>
      <c r="N83" s="24"/>
    </row>
    <row r="84" spans="1:14" ht="17" thickBot="1" x14ac:dyDescent="0.25">
      <c r="A84" s="4"/>
      <c r="B84" s="4"/>
      <c r="C84" s="46" t="s">
        <v>37</v>
      </c>
      <c r="D84" s="67">
        <f>1+E15*(E77-E11/1000)/(SUM(E11:E12)/1000)+E16*(F77-E12/1000)/(SUM(E11:E12)/1000)</f>
        <v>1.3692</v>
      </c>
      <c r="E84" s="4"/>
      <c r="F84" s="4"/>
      <c r="G84" s="4"/>
      <c r="H84" s="4"/>
      <c r="I84" s="4"/>
      <c r="L84" s="24"/>
      <c r="M84" s="24"/>
      <c r="N84" s="24"/>
    </row>
    <row r="85" spans="1:14" x14ac:dyDescent="0.2">
      <c r="A85" s="4"/>
      <c r="B85" s="4"/>
      <c r="C85" s="4"/>
      <c r="D85" s="4"/>
      <c r="E85" s="4"/>
      <c r="F85" s="4"/>
      <c r="G85" s="4"/>
      <c r="H85" s="4"/>
      <c r="I85" s="4"/>
      <c r="L85" s="4"/>
      <c r="M85" s="23"/>
      <c r="N85" s="4"/>
    </row>
    <row r="86" spans="1:14" x14ac:dyDescent="0.2">
      <c r="A86" s="4"/>
      <c r="B86" s="4" t="s">
        <v>41</v>
      </c>
      <c r="C86" s="4"/>
      <c r="D86" s="4"/>
      <c r="E86" s="4"/>
      <c r="F86" s="4"/>
      <c r="G86" s="4"/>
      <c r="H86" s="4"/>
      <c r="I86" s="4"/>
      <c r="L86" s="4"/>
      <c r="M86" s="23"/>
      <c r="N86" s="4"/>
    </row>
    <row r="87" spans="1:14" x14ac:dyDescent="0.2">
      <c r="A87" s="4"/>
      <c r="B87" s="4"/>
      <c r="C87" s="4"/>
      <c r="D87" s="4"/>
      <c r="E87" s="4"/>
      <c r="F87" s="4"/>
      <c r="G87" s="4"/>
      <c r="H87" s="4"/>
      <c r="I87" s="4"/>
      <c r="L87" s="4"/>
      <c r="M87" s="23"/>
      <c r="N87" s="4"/>
    </row>
    <row r="88" spans="1:14" x14ac:dyDescent="0.2">
      <c r="A88" s="4"/>
      <c r="B88" s="4" t="s">
        <v>1</v>
      </c>
      <c r="C88" s="4"/>
      <c r="D88" s="4"/>
      <c r="E88" s="4"/>
      <c r="F88" s="4"/>
      <c r="G88" s="4"/>
      <c r="H88" s="4"/>
      <c r="I88" s="4"/>
      <c r="L88" s="24"/>
      <c r="M88" s="24"/>
      <c r="N88" s="24"/>
    </row>
    <row r="89" spans="1:14" x14ac:dyDescent="0.2">
      <c r="A89" s="4"/>
      <c r="B89" s="4" t="s">
        <v>39</v>
      </c>
      <c r="C89" s="4"/>
      <c r="D89" s="4"/>
      <c r="E89" s="4"/>
      <c r="F89" s="4"/>
      <c r="G89" s="4"/>
      <c r="H89" s="4"/>
      <c r="I89" s="4"/>
      <c r="L89" s="24"/>
      <c r="M89" s="24"/>
      <c r="N89" s="24"/>
    </row>
    <row r="90" spans="1:14" x14ac:dyDescent="0.2">
      <c r="A90" s="4"/>
      <c r="B90" s="8" t="s">
        <v>93</v>
      </c>
      <c r="C90" s="4"/>
      <c r="D90" s="4"/>
      <c r="E90" s="4"/>
      <c r="F90" s="4"/>
      <c r="G90" s="4"/>
      <c r="H90" s="4"/>
      <c r="I90" s="4"/>
      <c r="L90" s="24"/>
      <c r="M90" s="24"/>
      <c r="N90" s="24"/>
    </row>
    <row r="91" spans="1:14" x14ac:dyDescent="0.2">
      <c r="A91" s="4"/>
      <c r="B91" s="36" t="s">
        <v>94</v>
      </c>
      <c r="C91" s="4"/>
      <c r="D91" s="4"/>
      <c r="E91" s="4"/>
      <c r="F91" s="4"/>
      <c r="G91" s="4"/>
      <c r="H91" s="4"/>
      <c r="I91" s="4"/>
      <c r="L91" s="24"/>
      <c r="M91" s="24"/>
      <c r="N91" s="24"/>
    </row>
    <row r="92" spans="1:14" x14ac:dyDescent="0.2">
      <c r="A92" s="4"/>
      <c r="B92" s="4"/>
      <c r="C92" s="4"/>
      <c r="D92" s="4"/>
      <c r="E92" s="4"/>
      <c r="F92" s="4"/>
      <c r="G92" s="4"/>
      <c r="H92" s="4"/>
      <c r="I92" s="4"/>
      <c r="L92" s="24"/>
      <c r="M92" s="24"/>
      <c r="N92" s="24"/>
    </row>
    <row r="93" spans="1:14" ht="19" x14ac:dyDescent="0.25">
      <c r="A93" s="21" t="s">
        <v>5</v>
      </c>
      <c r="B93" s="4"/>
      <c r="C93" s="4"/>
      <c r="D93" s="4"/>
      <c r="E93" s="4"/>
      <c r="F93" s="4"/>
      <c r="G93" s="4"/>
      <c r="H93" s="4"/>
      <c r="I93" s="4"/>
      <c r="L93" s="24"/>
      <c r="M93" s="24"/>
      <c r="N93" s="24"/>
    </row>
    <row r="94" spans="1:14" x14ac:dyDescent="0.2">
      <c r="A94" s="4" t="s">
        <v>431</v>
      </c>
      <c r="B94" s="4"/>
      <c r="C94" s="4"/>
      <c r="D94" s="4"/>
      <c r="E94" s="4"/>
      <c r="F94" s="4"/>
      <c r="G94" s="4"/>
      <c r="H94" s="4"/>
      <c r="I94" s="4"/>
      <c r="L94" s="24"/>
      <c r="M94" s="24"/>
      <c r="N94" s="24"/>
    </row>
    <row r="95" spans="1:14" x14ac:dyDescent="0.2">
      <c r="A95" s="4" t="s">
        <v>42</v>
      </c>
      <c r="B95" s="4"/>
      <c r="C95" s="4"/>
      <c r="D95" s="4"/>
      <c r="E95" s="4"/>
      <c r="F95" s="4"/>
      <c r="G95" s="4"/>
      <c r="H95" s="4"/>
      <c r="I95" s="4"/>
      <c r="L95" s="24"/>
      <c r="M95" s="24"/>
      <c r="N95" s="24"/>
    </row>
    <row r="96" spans="1:14" x14ac:dyDescent="0.2">
      <c r="A96" s="4"/>
      <c r="B96" s="4"/>
      <c r="C96" s="4"/>
      <c r="D96" s="4"/>
      <c r="E96" s="4"/>
      <c r="F96" s="4"/>
      <c r="G96" s="4"/>
      <c r="H96" s="4"/>
      <c r="I96" s="4"/>
      <c r="L96" s="24"/>
      <c r="M96" s="24"/>
      <c r="N96" s="24"/>
    </row>
    <row r="97" spans="1:14" x14ac:dyDescent="0.2">
      <c r="A97" s="4"/>
      <c r="B97" s="4" t="s">
        <v>43</v>
      </c>
      <c r="C97" s="4"/>
      <c r="D97" s="4"/>
      <c r="E97" s="4"/>
      <c r="F97" s="4"/>
      <c r="G97" s="4"/>
      <c r="H97" s="4"/>
      <c r="I97" s="4"/>
      <c r="L97" s="24"/>
      <c r="M97" s="24"/>
      <c r="N97" s="24"/>
    </row>
    <row r="98" spans="1:14" x14ac:dyDescent="0.2">
      <c r="A98" s="4"/>
      <c r="B98" s="4" t="s">
        <v>44</v>
      </c>
      <c r="C98" s="4"/>
      <c r="D98" s="4"/>
      <c r="E98" s="4"/>
      <c r="F98" s="4"/>
      <c r="G98" s="4"/>
      <c r="H98" s="4"/>
      <c r="I98" s="4"/>
      <c r="L98" s="24"/>
      <c r="M98" s="24"/>
      <c r="N98" s="24"/>
    </row>
    <row r="99" spans="1:14" x14ac:dyDescent="0.2">
      <c r="A99" s="4"/>
      <c r="B99" s="4" t="s">
        <v>45</v>
      </c>
      <c r="C99" s="4"/>
      <c r="D99" s="4"/>
      <c r="E99" s="4"/>
      <c r="F99" s="4"/>
      <c r="G99" s="4"/>
      <c r="H99" s="4"/>
      <c r="I99" s="4"/>
      <c r="L99" s="24"/>
      <c r="M99" s="24"/>
      <c r="N99" s="24"/>
    </row>
    <row r="100" spans="1:14" x14ac:dyDescent="0.2">
      <c r="A100" s="4"/>
      <c r="B100" s="4" t="s">
        <v>46</v>
      </c>
      <c r="C100" s="4"/>
      <c r="D100" s="4"/>
      <c r="E100" s="4"/>
      <c r="F100" s="4"/>
      <c r="G100" s="4"/>
      <c r="H100" s="4"/>
      <c r="I100" s="4"/>
      <c r="L100" s="24"/>
      <c r="M100" s="24"/>
      <c r="N100" s="24"/>
    </row>
    <row r="101" spans="1:14" x14ac:dyDescent="0.2">
      <c r="A101" s="4"/>
      <c r="B101" s="4" t="s">
        <v>47</v>
      </c>
      <c r="C101" s="4"/>
      <c r="D101" s="4"/>
      <c r="E101" s="4"/>
      <c r="F101" s="4"/>
      <c r="G101" s="4"/>
      <c r="H101" s="4"/>
      <c r="I101" s="4"/>
      <c r="L101" s="24"/>
      <c r="M101" s="24"/>
      <c r="N101" s="24"/>
    </row>
    <row r="102" spans="1:14" x14ac:dyDescent="0.2">
      <c r="A102" s="4"/>
      <c r="B102" s="4" t="s">
        <v>48</v>
      </c>
      <c r="C102" s="4"/>
      <c r="D102" s="4"/>
      <c r="E102" s="4"/>
      <c r="F102" s="4"/>
      <c r="G102" s="4"/>
      <c r="H102" s="4"/>
      <c r="I102" s="4"/>
      <c r="L102" s="24"/>
      <c r="M102" s="24"/>
      <c r="N102" s="24"/>
    </row>
    <row r="103" spans="1:14" x14ac:dyDescent="0.2">
      <c r="A103" s="4"/>
      <c r="B103" s="4"/>
      <c r="C103" s="4"/>
      <c r="D103" s="4"/>
      <c r="E103" s="4"/>
      <c r="F103" s="4"/>
      <c r="G103" s="4"/>
      <c r="H103" s="4"/>
      <c r="I103" s="4"/>
      <c r="L103" s="24"/>
      <c r="M103" s="24"/>
      <c r="N103" s="24"/>
    </row>
    <row r="104" spans="1:14" ht="19" x14ac:dyDescent="0.25">
      <c r="A104" s="21" t="s">
        <v>6</v>
      </c>
      <c r="B104" s="4"/>
      <c r="C104" s="4"/>
      <c r="D104" s="4"/>
      <c r="E104" s="4"/>
      <c r="F104" s="4"/>
      <c r="G104" s="4"/>
      <c r="H104" s="4"/>
      <c r="I104" s="4"/>
      <c r="L104" s="24"/>
      <c r="M104" s="24"/>
      <c r="N104" s="24"/>
    </row>
    <row r="105" spans="1:14" x14ac:dyDescent="0.2">
      <c r="A105" s="4" t="s">
        <v>40</v>
      </c>
      <c r="B105" s="4"/>
      <c r="C105" s="4"/>
      <c r="D105" s="4"/>
      <c r="E105" s="4"/>
      <c r="F105" s="4"/>
      <c r="G105" s="4"/>
      <c r="H105" s="4"/>
      <c r="I105" s="4"/>
      <c r="L105" s="24"/>
      <c r="M105" s="24"/>
      <c r="N105" s="24"/>
    </row>
    <row r="106" spans="1:14" x14ac:dyDescent="0.2">
      <c r="A106" s="4"/>
      <c r="B106" s="4"/>
      <c r="C106" s="4"/>
      <c r="D106" s="4"/>
      <c r="E106" s="4"/>
      <c r="F106" s="4"/>
      <c r="G106" s="4"/>
      <c r="H106" s="4"/>
      <c r="I106" s="4"/>
      <c r="L106" s="24"/>
      <c r="M106" s="24"/>
      <c r="N106" s="24"/>
    </row>
    <row r="107" spans="1:14" x14ac:dyDescent="0.2">
      <c r="A107" s="4"/>
      <c r="B107" s="4"/>
      <c r="C107" s="4"/>
      <c r="D107" s="4"/>
      <c r="E107" s="4"/>
      <c r="F107" s="4"/>
      <c r="G107" s="4"/>
      <c r="H107" s="4"/>
      <c r="I107" s="4"/>
      <c r="L107" s="24"/>
      <c r="M107" s="24"/>
      <c r="N107" s="24"/>
    </row>
    <row r="108" spans="1:14" x14ac:dyDescent="0.2">
      <c r="A108" s="4"/>
      <c r="B108" s="4"/>
      <c r="C108" s="4"/>
      <c r="D108" s="4"/>
      <c r="E108" s="4"/>
      <c r="F108" s="4"/>
      <c r="G108" s="4"/>
      <c r="H108" s="4"/>
      <c r="I108" s="4"/>
      <c r="L108" s="4"/>
      <c r="M108" s="23"/>
      <c r="N108" s="4"/>
    </row>
    <row r="109" spans="1:14" x14ac:dyDescent="0.2">
      <c r="A109" s="4"/>
      <c r="B109" s="4"/>
      <c r="C109" s="4"/>
      <c r="D109" s="4"/>
      <c r="E109" s="4"/>
      <c r="F109" s="4"/>
      <c r="G109" s="4"/>
      <c r="H109" s="4"/>
      <c r="I109" s="4"/>
      <c r="L109" s="24"/>
      <c r="M109" s="24"/>
      <c r="N109" s="24"/>
    </row>
    <row r="110" spans="1:14" x14ac:dyDescent="0.2">
      <c r="A110" s="4"/>
      <c r="B110" s="4"/>
      <c r="C110" s="4"/>
      <c r="D110" s="4"/>
      <c r="E110" s="4"/>
      <c r="F110" s="4"/>
      <c r="G110" s="4"/>
      <c r="H110" s="4"/>
      <c r="I110" s="4"/>
      <c r="L110" s="24"/>
      <c r="M110" s="24"/>
      <c r="N110" s="24"/>
    </row>
    <row r="111" spans="1:14" x14ac:dyDescent="0.2">
      <c r="A111" s="4"/>
      <c r="B111" s="4"/>
      <c r="C111" s="4"/>
      <c r="D111" s="4"/>
      <c r="E111" s="4"/>
      <c r="F111" s="4"/>
      <c r="G111" s="4"/>
      <c r="H111" s="4"/>
      <c r="I111" s="4"/>
      <c r="L111" s="24"/>
      <c r="M111" s="24"/>
      <c r="N111" s="24"/>
    </row>
    <row r="112" spans="1:14" x14ac:dyDescent="0.2">
      <c r="A112" s="4"/>
      <c r="B112" s="4"/>
      <c r="C112" s="4"/>
      <c r="D112" s="4"/>
      <c r="E112" s="4"/>
      <c r="F112" s="4"/>
      <c r="G112" s="4"/>
      <c r="H112" s="4"/>
      <c r="I112" s="4"/>
      <c r="L112" s="24"/>
      <c r="M112" s="24"/>
      <c r="N112" s="24"/>
    </row>
    <row r="113" spans="1:14" x14ac:dyDescent="0.2">
      <c r="A113" s="4"/>
      <c r="B113" s="4"/>
      <c r="C113" s="4"/>
      <c r="D113" s="4"/>
      <c r="E113" s="4"/>
      <c r="F113" s="4"/>
      <c r="G113" s="4"/>
      <c r="H113" s="4"/>
      <c r="I113" s="4"/>
      <c r="L113" s="24"/>
      <c r="M113" s="24"/>
      <c r="N113" s="24"/>
    </row>
    <row r="114" spans="1:14" x14ac:dyDescent="0.2">
      <c r="A114" s="4"/>
      <c r="B114" s="4"/>
      <c r="C114" s="4"/>
      <c r="D114" s="4"/>
      <c r="E114" s="4"/>
      <c r="F114" s="4"/>
      <c r="G114" s="4"/>
      <c r="H114" s="4"/>
      <c r="I114" s="4"/>
      <c r="L114" s="24"/>
      <c r="M114" s="24"/>
      <c r="N114" s="24"/>
    </row>
    <row r="115" spans="1:14" x14ac:dyDescent="0.2">
      <c r="A115" s="4"/>
      <c r="B115" s="4"/>
      <c r="C115" s="4"/>
      <c r="D115" s="4"/>
      <c r="E115" s="4"/>
      <c r="F115" s="4"/>
      <c r="G115" s="4"/>
      <c r="H115" s="4"/>
      <c r="I115" s="4"/>
      <c r="L115" s="24"/>
      <c r="M115" s="24"/>
      <c r="N115" s="24"/>
    </row>
    <row r="116" spans="1:14" x14ac:dyDescent="0.2">
      <c r="A116" s="4"/>
      <c r="B116" s="4"/>
      <c r="C116" s="4"/>
      <c r="D116" s="4"/>
      <c r="E116" s="4"/>
      <c r="F116" s="4"/>
      <c r="G116" s="4"/>
      <c r="H116" s="4"/>
      <c r="I116" s="4"/>
      <c r="L116" s="24"/>
      <c r="M116" s="24"/>
      <c r="N116" s="24"/>
    </row>
    <row r="117" spans="1:14" x14ac:dyDescent="0.2">
      <c r="A117" s="4"/>
      <c r="B117" s="4"/>
      <c r="C117" s="4"/>
      <c r="D117" s="4"/>
      <c r="E117" s="4"/>
      <c r="F117" s="4"/>
      <c r="G117" s="4"/>
      <c r="H117" s="4"/>
      <c r="I117" s="4"/>
      <c r="L117" s="24"/>
      <c r="M117" s="24"/>
      <c r="N117" s="24"/>
    </row>
    <row r="118" spans="1:14" x14ac:dyDescent="0.2">
      <c r="A118" s="4"/>
      <c r="B118" s="4"/>
      <c r="C118" s="4"/>
      <c r="D118" s="4"/>
      <c r="E118" s="4"/>
      <c r="F118" s="4"/>
      <c r="G118" s="4"/>
      <c r="H118" s="4"/>
      <c r="I118" s="4"/>
      <c r="L118" s="4"/>
      <c r="M118" s="23"/>
      <c r="N118" s="4"/>
    </row>
    <row r="119" spans="1:14" x14ac:dyDescent="0.2">
      <c r="A119" s="4"/>
      <c r="B119" s="4"/>
      <c r="C119" s="4"/>
      <c r="D119" s="4"/>
      <c r="E119" s="4"/>
      <c r="F119" s="4"/>
      <c r="G119" s="4"/>
      <c r="H119" s="4"/>
      <c r="I119" s="4"/>
      <c r="L119" s="24"/>
      <c r="M119" s="24"/>
      <c r="N119" s="24"/>
    </row>
    <row r="120" spans="1:14" x14ac:dyDescent="0.2">
      <c r="A120" s="4"/>
      <c r="B120" s="4"/>
      <c r="C120" s="4"/>
      <c r="D120" s="4"/>
      <c r="E120" s="4"/>
      <c r="F120" s="4"/>
      <c r="G120" s="4"/>
      <c r="H120" s="4"/>
      <c r="I120" s="4"/>
      <c r="L120" s="24"/>
      <c r="M120" s="24"/>
      <c r="N120" s="24"/>
    </row>
    <row r="121" spans="1:14" x14ac:dyDescent="0.2">
      <c r="A121" s="4"/>
      <c r="B121" s="4"/>
      <c r="C121" s="4"/>
      <c r="D121" s="4"/>
      <c r="E121" s="4"/>
      <c r="F121" s="4"/>
      <c r="G121" s="4"/>
      <c r="H121" s="4"/>
      <c r="I121" s="4"/>
      <c r="L121" s="24"/>
      <c r="M121" s="24"/>
      <c r="N121" s="24"/>
    </row>
    <row r="122" spans="1:14" x14ac:dyDescent="0.2">
      <c r="A122" s="4"/>
      <c r="B122" s="4"/>
      <c r="C122" s="4"/>
      <c r="D122" s="4"/>
      <c r="E122" s="4"/>
      <c r="F122" s="4"/>
      <c r="G122" s="4"/>
      <c r="H122" s="4"/>
      <c r="I122" s="4"/>
      <c r="L122" s="24"/>
      <c r="M122" s="24"/>
      <c r="N122" s="24"/>
    </row>
    <row r="123" spans="1:14" x14ac:dyDescent="0.2">
      <c r="A123" s="4"/>
      <c r="B123" s="4"/>
      <c r="C123" s="4"/>
      <c r="D123" s="4"/>
      <c r="E123" s="4"/>
      <c r="F123" s="4"/>
      <c r="G123" s="4"/>
      <c r="H123" s="4"/>
      <c r="I123" s="4"/>
      <c r="L123" s="24"/>
      <c r="M123" s="24"/>
      <c r="N123" s="24"/>
    </row>
    <row r="124" spans="1:14" x14ac:dyDescent="0.2">
      <c r="A124" s="4"/>
      <c r="B124" s="4"/>
      <c r="C124" s="4"/>
      <c r="D124" s="4"/>
      <c r="E124" s="4"/>
      <c r="F124" s="4"/>
      <c r="G124" s="4"/>
      <c r="H124" s="4"/>
      <c r="I124" s="4"/>
      <c r="L124" s="24"/>
      <c r="M124" s="24"/>
      <c r="N124" s="24"/>
    </row>
    <row r="125" spans="1:14" x14ac:dyDescent="0.2">
      <c r="A125" s="4"/>
      <c r="B125" s="4"/>
      <c r="C125" s="4"/>
      <c r="D125" s="4"/>
      <c r="E125" s="4"/>
      <c r="F125" s="4"/>
      <c r="G125" s="4"/>
      <c r="H125" s="4"/>
      <c r="I125" s="4"/>
      <c r="L125" s="24"/>
      <c r="M125" s="24"/>
      <c r="N125" s="24"/>
    </row>
    <row r="126" spans="1:14" x14ac:dyDescent="0.2">
      <c r="A126" s="4"/>
      <c r="B126" s="4"/>
      <c r="C126" s="4"/>
      <c r="D126" s="4"/>
      <c r="E126" s="4"/>
      <c r="F126" s="4"/>
      <c r="G126" s="4"/>
      <c r="H126" s="4"/>
      <c r="I126" s="4"/>
      <c r="L126" s="24"/>
      <c r="M126" s="24"/>
      <c r="N126" s="24"/>
    </row>
    <row r="127" spans="1:14" x14ac:dyDescent="0.2">
      <c r="A127" s="4"/>
      <c r="B127" s="4"/>
      <c r="C127" s="4"/>
      <c r="D127" s="4"/>
      <c r="E127" s="4"/>
      <c r="F127" s="4"/>
      <c r="G127" s="4"/>
      <c r="H127" s="4"/>
      <c r="I127" s="4"/>
      <c r="L127" s="24"/>
      <c r="M127" s="24"/>
      <c r="N127" s="24"/>
    </row>
    <row r="128" spans="1:14" x14ac:dyDescent="0.2">
      <c r="A128" s="4"/>
      <c r="B128" s="4"/>
      <c r="C128" s="4"/>
      <c r="D128" s="4"/>
      <c r="E128" s="4"/>
      <c r="F128" s="4"/>
      <c r="G128" s="4"/>
      <c r="H128" s="4"/>
      <c r="I128" s="4"/>
      <c r="L128" s="4"/>
      <c r="M128" s="23"/>
      <c r="N128" s="4"/>
    </row>
    <row r="129" spans="1:65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</row>
    <row r="130" spans="1:65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</row>
    <row r="131" spans="1:65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</row>
    <row r="132" spans="1:65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</row>
    <row r="133" spans="1:65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</row>
    <row r="134" spans="1:65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</row>
    <row r="135" spans="1:65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</row>
    <row r="136" spans="1:65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</row>
    <row r="137" spans="1:65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</row>
    <row r="138" spans="1:65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</row>
    <row r="139" spans="1:65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</row>
    <row r="140" spans="1:65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</row>
    <row r="141" spans="1:65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</row>
    <row r="142" spans="1:65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</row>
    <row r="143" spans="1:65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</row>
    <row r="144" spans="1:65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</row>
    <row r="145" spans="1:65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</row>
    <row r="146" spans="1:65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</row>
    <row r="147" spans="1:65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</row>
    <row r="148" spans="1:65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</row>
    <row r="149" spans="1:65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</row>
    <row r="150" spans="1:65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</row>
    <row r="151" spans="1:65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</row>
    <row r="152" spans="1:65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</row>
    <row r="153" spans="1:65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</row>
    <row r="154" spans="1:65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</row>
    <row r="155" spans="1:65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</row>
    <row r="156" spans="1:65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</row>
    <row r="157" spans="1:65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</row>
    <row r="158" spans="1:65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</row>
    <row r="159" spans="1:65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</row>
    <row r="160" spans="1:65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</row>
    <row r="161" spans="1:65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</row>
    <row r="162" spans="1:65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</row>
    <row r="163" spans="1:65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</row>
    <row r="164" spans="1:65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</row>
    <row r="165" spans="1:65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</row>
    <row r="166" spans="1:65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</row>
    <row r="167" spans="1:65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</row>
    <row r="168" spans="1:65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</row>
    <row r="169" spans="1:65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</row>
    <row r="170" spans="1:65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</row>
    <row r="171" spans="1:65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</row>
    <row r="172" spans="1:65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</row>
    <row r="173" spans="1:65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</row>
    <row r="174" spans="1:65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</row>
    <row r="175" spans="1:65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</row>
    <row r="176" spans="1:65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</row>
    <row r="177" spans="1:65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</row>
    <row r="178" spans="1:65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</row>
    <row r="179" spans="1:65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</row>
    <row r="180" spans="1:65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</row>
    <row r="181" spans="1:65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</row>
    <row r="182" spans="1:65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</row>
    <row r="183" spans="1:65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</row>
    <row r="184" spans="1:65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</row>
    <row r="185" spans="1:65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</row>
    <row r="186" spans="1:65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</row>
    <row r="187" spans="1:65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</row>
    <row r="188" spans="1:65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</row>
    <row r="189" spans="1:65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</row>
    <row r="190" spans="1:65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</row>
    <row r="191" spans="1:65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</row>
    <row r="192" spans="1:65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</row>
    <row r="193" spans="1:65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</row>
    <row r="194" spans="1:65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</row>
    <row r="195" spans="1:65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</row>
    <row r="196" spans="1:65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</row>
    <row r="197" spans="1:65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</row>
    <row r="198" spans="1:65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</row>
    <row r="199" spans="1:65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</row>
    <row r="200" spans="1:65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</row>
    <row r="201" spans="1:65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</row>
    <row r="202" spans="1:65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</row>
    <row r="203" spans="1:65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</row>
    <row r="204" spans="1:65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</row>
    <row r="205" spans="1:65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</row>
    <row r="206" spans="1:65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</row>
    <row r="207" spans="1:65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</row>
    <row r="208" spans="1:65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</row>
    <row r="209" spans="1:65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</row>
    <row r="210" spans="1:65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</row>
    <row r="211" spans="1:65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</row>
    <row r="212" spans="1:65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</row>
    <row r="213" spans="1:65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</row>
    <row r="214" spans="1:65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</row>
    <row r="215" spans="1:65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</row>
    <row r="216" spans="1:65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</row>
    <row r="217" spans="1:65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</row>
    <row r="218" spans="1:65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</row>
    <row r="219" spans="1:65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</row>
    <row r="220" spans="1:65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</row>
    <row r="221" spans="1:65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</row>
    <row r="222" spans="1:65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</row>
    <row r="223" spans="1:65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</row>
    <row r="224" spans="1:65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</row>
    <row r="225" spans="1:65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</row>
    <row r="226" spans="1:65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</row>
    <row r="227" spans="1:65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</row>
    <row r="228" spans="1:65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</row>
    <row r="229" spans="1:65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</row>
    <row r="230" spans="1:65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</row>
  </sheetData>
  <mergeCells count="4">
    <mergeCell ref="E20:E21"/>
    <mergeCell ref="D55:D56"/>
    <mergeCell ref="E55:E56"/>
    <mergeCell ref="F55:F5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C43D5-D14F-044E-AA8F-9DD1F4517B6E}">
  <dimension ref="A1:BM195"/>
  <sheetViews>
    <sheetView showGridLines="0" zoomScale="120" zoomScaleNormal="120" workbookViewId="0"/>
  </sheetViews>
  <sheetFormatPr baseColWidth="10" defaultRowHeight="16" x14ac:dyDescent="0.2"/>
  <cols>
    <col min="1" max="16384" width="10.83203125" style="18"/>
  </cols>
  <sheetData>
    <row r="1" spans="1:10" ht="19" x14ac:dyDescent="0.25">
      <c r="A1" s="16" t="s">
        <v>333</v>
      </c>
      <c r="B1" s="17"/>
      <c r="C1" s="17"/>
      <c r="D1" s="17"/>
      <c r="E1" s="17"/>
      <c r="F1" s="17"/>
      <c r="G1" s="17"/>
      <c r="H1" s="17"/>
      <c r="I1" s="17"/>
      <c r="J1" s="1"/>
    </row>
    <row r="2" spans="1:10" x14ac:dyDescent="0.2">
      <c r="A2" s="19"/>
      <c r="B2" s="17"/>
      <c r="C2" s="17"/>
      <c r="D2" s="17"/>
      <c r="E2" s="17"/>
      <c r="F2" s="17"/>
      <c r="G2" s="17"/>
      <c r="H2" s="17"/>
      <c r="I2" s="17"/>
      <c r="J2" s="1"/>
    </row>
    <row r="3" spans="1:10" ht="19" x14ac:dyDescent="0.25">
      <c r="A3" s="19"/>
      <c r="B3" s="136" t="s">
        <v>8</v>
      </c>
      <c r="C3" s="17"/>
      <c r="D3" s="17"/>
      <c r="E3" s="17"/>
      <c r="F3" s="17"/>
      <c r="G3" s="17"/>
      <c r="H3" s="17"/>
      <c r="I3" s="17"/>
      <c r="J3" s="1"/>
    </row>
    <row r="4" spans="1:10" x14ac:dyDescent="0.2">
      <c r="A4" s="19"/>
      <c r="B4" s="17" t="s">
        <v>334</v>
      </c>
      <c r="C4" s="17"/>
      <c r="D4" s="17"/>
      <c r="E4" s="17"/>
      <c r="F4" s="17"/>
      <c r="G4" s="17"/>
      <c r="H4" s="17"/>
      <c r="I4" s="17"/>
      <c r="J4" s="1"/>
    </row>
    <row r="5" spans="1:10" x14ac:dyDescent="0.2">
      <c r="A5" s="19"/>
      <c r="B5" s="17"/>
      <c r="C5" s="17"/>
      <c r="D5" s="17"/>
      <c r="E5" s="17"/>
      <c r="F5" s="17"/>
      <c r="G5" s="17"/>
      <c r="H5" s="17"/>
      <c r="I5" s="17"/>
      <c r="J5" s="1"/>
    </row>
    <row r="6" spans="1:10" x14ac:dyDescent="0.2">
      <c r="A6" s="19"/>
      <c r="B6" s="17"/>
      <c r="C6" s="240" t="s">
        <v>335</v>
      </c>
      <c r="D6" s="240"/>
      <c r="E6" s="240"/>
      <c r="F6" s="240"/>
      <c r="G6" s="240"/>
      <c r="H6" s="240"/>
      <c r="I6" s="240"/>
      <c r="J6" s="1"/>
    </row>
    <row r="7" spans="1:10" x14ac:dyDescent="0.2">
      <c r="A7" s="19"/>
      <c r="B7" s="3" t="s">
        <v>51</v>
      </c>
      <c r="C7" s="131">
        <v>25</v>
      </c>
      <c r="D7" s="131">
        <v>50</v>
      </c>
      <c r="E7" s="131">
        <v>100</v>
      </c>
      <c r="F7" s="131">
        <v>150</v>
      </c>
      <c r="G7" s="131">
        <v>250</v>
      </c>
      <c r="H7" s="131">
        <v>350</v>
      </c>
      <c r="I7" s="131">
        <v>500</v>
      </c>
      <c r="J7" s="1"/>
    </row>
    <row r="8" spans="1:10" x14ac:dyDescent="0.2">
      <c r="A8" s="19"/>
      <c r="B8" s="2">
        <v>1</v>
      </c>
      <c r="C8" s="97">
        <v>1</v>
      </c>
      <c r="D8" s="97">
        <v>2</v>
      </c>
      <c r="E8" s="97">
        <v>1</v>
      </c>
      <c r="F8" s="97">
        <v>1</v>
      </c>
      <c r="G8" s="97"/>
      <c r="H8" s="97">
        <v>1</v>
      </c>
      <c r="I8" s="97">
        <v>1</v>
      </c>
      <c r="J8" s="1"/>
    </row>
    <row r="9" spans="1:10" x14ac:dyDescent="0.2">
      <c r="A9" s="19"/>
      <c r="B9" s="2">
        <v>2</v>
      </c>
      <c r="C9" s="97">
        <v>1</v>
      </c>
      <c r="D9" s="97">
        <v>2</v>
      </c>
      <c r="E9" s="97"/>
      <c r="F9" s="97">
        <v>1</v>
      </c>
      <c r="G9" s="97">
        <v>1</v>
      </c>
      <c r="H9" s="97">
        <v>1</v>
      </c>
      <c r="I9" s="97">
        <v>2</v>
      </c>
      <c r="J9" s="1"/>
    </row>
    <row r="10" spans="1:10" x14ac:dyDescent="0.2">
      <c r="A10" s="19"/>
      <c r="B10" s="2">
        <v>3</v>
      </c>
      <c r="C10" s="97"/>
      <c r="D10" s="97">
        <v>3</v>
      </c>
      <c r="E10" s="97">
        <v>1</v>
      </c>
      <c r="F10" s="97">
        <v>2</v>
      </c>
      <c r="G10" s="97">
        <v>2</v>
      </c>
      <c r="H10" s="97">
        <v>1</v>
      </c>
      <c r="I10" s="97"/>
      <c r="J10" s="1"/>
    </row>
    <row r="11" spans="1:10" x14ac:dyDescent="0.2">
      <c r="A11" s="19"/>
      <c r="B11" s="2">
        <v>4</v>
      </c>
      <c r="C11" s="97">
        <v>1</v>
      </c>
      <c r="D11" s="97">
        <v>2</v>
      </c>
      <c r="E11" s="97">
        <v>1</v>
      </c>
      <c r="F11" s="97">
        <v>3</v>
      </c>
      <c r="G11" s="97"/>
      <c r="H11" s="97">
        <v>2</v>
      </c>
      <c r="I11" s="97">
        <v>1</v>
      </c>
      <c r="J11" s="1"/>
    </row>
    <row r="12" spans="1:10" x14ac:dyDescent="0.2">
      <c r="A12" s="19"/>
      <c r="B12" s="2">
        <v>5</v>
      </c>
      <c r="C12" s="97">
        <v>2</v>
      </c>
      <c r="D12" s="97">
        <v>1</v>
      </c>
      <c r="E12" s="97">
        <v>2</v>
      </c>
      <c r="F12" s="97"/>
      <c r="G12" s="97">
        <v>2</v>
      </c>
      <c r="H12" s="97"/>
      <c r="I12" s="97">
        <v>2</v>
      </c>
      <c r="J12" s="1"/>
    </row>
    <row r="13" spans="1:10" x14ac:dyDescent="0.2">
      <c r="A13" s="19"/>
      <c r="B13" s="2">
        <v>6</v>
      </c>
      <c r="C13" s="97">
        <v>1</v>
      </c>
      <c r="D13" s="97">
        <v>1</v>
      </c>
      <c r="E13" s="97">
        <v>2</v>
      </c>
      <c r="F13" s="97">
        <v>2</v>
      </c>
      <c r="G13" s="97"/>
      <c r="H13" s="97">
        <v>1</v>
      </c>
      <c r="I13" s="97">
        <v>1</v>
      </c>
      <c r="J13" s="1"/>
    </row>
    <row r="14" spans="1:10" x14ac:dyDescent="0.2">
      <c r="A14" s="19"/>
      <c r="B14" s="2">
        <v>7</v>
      </c>
      <c r="C14" s="97">
        <v>2</v>
      </c>
      <c r="D14" s="97">
        <v>2</v>
      </c>
      <c r="E14" s="97">
        <v>1</v>
      </c>
      <c r="F14" s="97">
        <v>2</v>
      </c>
      <c r="G14" s="97"/>
      <c r="H14" s="97"/>
      <c r="I14" s="97">
        <v>2</v>
      </c>
      <c r="J14" s="1"/>
    </row>
    <row r="15" spans="1:10" x14ac:dyDescent="0.2">
      <c r="A15" s="19"/>
      <c r="B15" s="2">
        <v>8</v>
      </c>
      <c r="C15" s="97">
        <v>2</v>
      </c>
      <c r="D15" s="97">
        <v>1</v>
      </c>
      <c r="E15" s="97"/>
      <c r="F15" s="97">
        <v>3</v>
      </c>
      <c r="G15" s="97">
        <v>2</v>
      </c>
      <c r="H15" s="97">
        <v>2</v>
      </c>
      <c r="I15" s="97"/>
      <c r="J15" s="1"/>
    </row>
    <row r="16" spans="1:10" x14ac:dyDescent="0.2">
      <c r="A16" s="19"/>
      <c r="B16" s="2">
        <v>9</v>
      </c>
      <c r="C16" s="97">
        <v>2</v>
      </c>
      <c r="D16" s="97"/>
      <c r="E16" s="97">
        <v>1</v>
      </c>
      <c r="F16" s="97">
        <v>2</v>
      </c>
      <c r="G16" s="97">
        <v>1</v>
      </c>
      <c r="H16" s="97">
        <v>2</v>
      </c>
      <c r="I16" s="97">
        <v>4</v>
      </c>
      <c r="J16" s="1"/>
    </row>
    <row r="17" spans="1:12" x14ac:dyDescent="0.2">
      <c r="A17" s="19"/>
      <c r="B17" s="3">
        <v>10</v>
      </c>
      <c r="C17" s="131"/>
      <c r="D17" s="131">
        <v>2</v>
      </c>
      <c r="E17" s="131">
        <v>3</v>
      </c>
      <c r="F17" s="131">
        <v>2</v>
      </c>
      <c r="G17" s="131">
        <v>1</v>
      </c>
      <c r="H17" s="131"/>
      <c r="I17" s="131"/>
      <c r="J17" s="1"/>
    </row>
    <row r="18" spans="1:12" x14ac:dyDescent="0.2">
      <c r="A18" s="19"/>
      <c r="B18" s="2" t="s">
        <v>4</v>
      </c>
      <c r="C18" s="97">
        <f>SUM(C8:C17)</f>
        <v>12</v>
      </c>
      <c r="D18" s="97">
        <f t="shared" ref="D18:I18" si="0">SUM(D8:D17)</f>
        <v>16</v>
      </c>
      <c r="E18" s="97">
        <f t="shared" si="0"/>
        <v>12</v>
      </c>
      <c r="F18" s="97">
        <f t="shared" si="0"/>
        <v>18</v>
      </c>
      <c r="G18" s="97">
        <f t="shared" si="0"/>
        <v>9</v>
      </c>
      <c r="H18" s="97">
        <f t="shared" si="0"/>
        <v>10</v>
      </c>
      <c r="I18" s="97">
        <f t="shared" si="0"/>
        <v>13</v>
      </c>
      <c r="J18" s="1"/>
    </row>
    <row r="19" spans="1:12" x14ac:dyDescent="0.2">
      <c r="A19" s="19"/>
      <c r="B19" s="17"/>
      <c r="C19" s="17"/>
      <c r="D19" s="17"/>
      <c r="E19" s="17"/>
      <c r="F19" s="17"/>
      <c r="G19" s="17"/>
      <c r="H19" s="17"/>
      <c r="I19" s="17"/>
      <c r="J19" s="1"/>
    </row>
    <row r="20" spans="1:12" x14ac:dyDescent="0.2">
      <c r="A20" s="19"/>
      <c r="B20" s="17" t="s">
        <v>343</v>
      </c>
      <c r="C20" s="17"/>
      <c r="D20" s="17"/>
      <c r="E20" s="17"/>
      <c r="F20" s="17"/>
      <c r="G20" s="17"/>
      <c r="H20" s="17"/>
      <c r="I20" s="17"/>
      <c r="J20" s="1"/>
    </row>
    <row r="21" spans="1:12" x14ac:dyDescent="0.2">
      <c r="A21" s="19"/>
      <c r="B21" s="17" t="s">
        <v>339</v>
      </c>
      <c r="C21" s="17"/>
      <c r="D21" s="17"/>
      <c r="E21" s="17"/>
      <c r="F21" s="17"/>
      <c r="G21" s="17"/>
      <c r="H21" s="17"/>
      <c r="I21" s="17"/>
      <c r="J21" s="1"/>
    </row>
    <row r="22" spans="1:12" ht="17" thickBot="1" x14ac:dyDescent="0.25">
      <c r="A22" s="20"/>
      <c r="B22" s="6"/>
      <c r="C22" s="64"/>
      <c r="D22" s="64"/>
      <c r="E22" s="64"/>
      <c r="F22" s="6"/>
      <c r="G22" s="6"/>
      <c r="H22" s="6"/>
      <c r="I22" s="6"/>
      <c r="J22" s="7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12" ht="19" x14ac:dyDescent="0.25">
      <c r="A24" s="21" t="s">
        <v>3</v>
      </c>
      <c r="B24" s="4"/>
      <c r="C24" s="4"/>
      <c r="D24" s="4"/>
      <c r="E24" s="4"/>
      <c r="F24" s="4"/>
      <c r="G24" s="4"/>
      <c r="H24" s="4"/>
      <c r="I24" s="4"/>
    </row>
    <row r="25" spans="1:12" x14ac:dyDescent="0.2">
      <c r="A25" s="22"/>
      <c r="B25" s="4" t="s">
        <v>0</v>
      </c>
      <c r="C25" s="23"/>
      <c r="D25" s="4"/>
      <c r="E25" s="4"/>
      <c r="F25" s="4"/>
      <c r="G25" s="4"/>
      <c r="H25" s="4"/>
      <c r="I25" s="4"/>
    </row>
    <row r="26" spans="1:12" x14ac:dyDescent="0.2">
      <c r="A26" s="4"/>
      <c r="B26" s="4" t="s">
        <v>342</v>
      </c>
      <c r="C26" s="4"/>
      <c r="D26" s="4"/>
      <c r="E26" s="4"/>
      <c r="F26" s="4"/>
      <c r="G26" s="4"/>
      <c r="H26" s="4"/>
      <c r="I26" s="4"/>
    </row>
    <row r="27" spans="1:12" x14ac:dyDescent="0.2">
      <c r="A27" s="4"/>
      <c r="B27" s="4" t="s">
        <v>341</v>
      </c>
      <c r="C27" s="4"/>
      <c r="D27" s="4"/>
      <c r="E27" s="4"/>
      <c r="F27" s="4"/>
      <c r="G27" s="4"/>
      <c r="H27" s="4"/>
      <c r="I27" s="4"/>
      <c r="L27" s="24"/>
    </row>
    <row r="28" spans="1:12" x14ac:dyDescent="0.2">
      <c r="A28" s="4"/>
      <c r="B28" s="4"/>
      <c r="C28" s="4"/>
      <c r="D28" s="4"/>
      <c r="E28" s="4"/>
      <c r="F28" s="4"/>
      <c r="G28" s="4"/>
      <c r="H28" s="4"/>
      <c r="I28" s="4"/>
      <c r="L28" s="24"/>
    </row>
    <row r="29" spans="1:12" ht="68" x14ac:dyDescent="0.2">
      <c r="A29" s="4"/>
      <c r="B29" s="148" t="s">
        <v>51</v>
      </c>
      <c r="C29" s="147" t="s">
        <v>337</v>
      </c>
      <c r="D29" s="147" t="s">
        <v>340</v>
      </c>
      <c r="E29" s="4"/>
      <c r="F29" s="4"/>
      <c r="G29" s="4"/>
      <c r="H29" s="4"/>
      <c r="I29" s="4"/>
      <c r="L29" s="24"/>
    </row>
    <row r="30" spans="1:12" x14ac:dyDescent="0.2">
      <c r="A30" s="4"/>
      <c r="B30" s="43">
        <v>1</v>
      </c>
      <c r="C30" s="190">
        <f t="shared" ref="C30:C39" si="1">SUMPRODUCT(C8:I8,$C$7:$I$7)</f>
        <v>1225</v>
      </c>
      <c r="D30" s="190">
        <f>SUMPRODUCT(C8:G8,C$7:G$7)+SUM(H8:I8)*250</f>
        <v>875</v>
      </c>
      <c r="E30" s="4"/>
      <c r="F30" s="4"/>
      <c r="G30" s="4"/>
      <c r="H30" s="4"/>
      <c r="I30" s="4"/>
      <c r="L30" s="24"/>
    </row>
    <row r="31" spans="1:12" x14ac:dyDescent="0.2">
      <c r="A31" s="4"/>
      <c r="B31" s="43">
        <v>2</v>
      </c>
      <c r="C31" s="190">
        <f t="shared" si="1"/>
        <v>1875</v>
      </c>
      <c r="D31" s="190">
        <f t="shared" ref="D31:D39" si="2">SUMPRODUCT(C9:G9,C$7:G$7)+SUM(H9:I9)*250</f>
        <v>1275</v>
      </c>
      <c r="E31" s="4"/>
      <c r="F31" s="4"/>
      <c r="G31" s="4"/>
      <c r="H31" s="4"/>
      <c r="I31" s="4"/>
      <c r="L31" s="24"/>
    </row>
    <row r="32" spans="1:12" x14ac:dyDescent="0.2">
      <c r="A32" s="4"/>
      <c r="B32" s="43">
        <v>3</v>
      </c>
      <c r="C32" s="190">
        <f t="shared" si="1"/>
        <v>1400</v>
      </c>
      <c r="D32" s="190">
        <f t="shared" si="2"/>
        <v>1300</v>
      </c>
      <c r="E32" s="4"/>
      <c r="F32" s="105" t="s">
        <v>344</v>
      </c>
      <c r="G32" s="140">
        <f>(C40-D40)/C40</f>
        <v>0.24637681159420291</v>
      </c>
      <c r="H32" s="4"/>
      <c r="I32" s="4"/>
      <c r="L32" s="24"/>
    </row>
    <row r="33" spans="1:12" x14ac:dyDescent="0.2">
      <c r="A33" s="4"/>
      <c r="B33" s="43">
        <v>4</v>
      </c>
      <c r="C33" s="190">
        <f t="shared" si="1"/>
        <v>1875</v>
      </c>
      <c r="D33" s="190">
        <f>SUMPRODUCT(C11:G11,C$7:G$7)+SUM(H11:I11)*250</f>
        <v>1425</v>
      </c>
      <c r="E33" s="4"/>
      <c r="F33" s="4"/>
      <c r="G33" s="4"/>
      <c r="H33" s="4"/>
      <c r="I33" s="4"/>
      <c r="L33" s="24"/>
    </row>
    <row r="34" spans="1:12" x14ac:dyDescent="0.2">
      <c r="A34" s="4"/>
      <c r="B34" s="43">
        <v>5</v>
      </c>
      <c r="C34" s="190">
        <f t="shared" si="1"/>
        <v>1800</v>
      </c>
      <c r="D34" s="190">
        <f>SUMPRODUCT(C12:G12,C$7:G$7)+SUM(H12:I12)*250</f>
        <v>1300</v>
      </c>
      <c r="E34" s="4"/>
      <c r="F34" s="4"/>
      <c r="I34" s="4"/>
      <c r="L34" s="24"/>
    </row>
    <row r="35" spans="1:12" x14ac:dyDescent="0.2">
      <c r="A35" s="4"/>
      <c r="B35" s="43">
        <v>6</v>
      </c>
      <c r="C35" s="190">
        <f t="shared" si="1"/>
        <v>1425</v>
      </c>
      <c r="D35" s="190">
        <f>SUMPRODUCT(C13:G13,C$7:G$7)+SUM(H13:I13)*250</f>
        <v>1075</v>
      </c>
      <c r="E35" s="4"/>
      <c r="F35" s="4"/>
      <c r="G35" s="4"/>
      <c r="H35" s="4"/>
      <c r="I35" s="4"/>
      <c r="L35" s="24"/>
    </row>
    <row r="36" spans="1:12" x14ac:dyDescent="0.2">
      <c r="A36" s="4"/>
      <c r="B36" s="43">
        <v>7</v>
      </c>
      <c r="C36" s="190">
        <f t="shared" si="1"/>
        <v>1550</v>
      </c>
      <c r="D36" s="190">
        <f>SUMPRODUCT(C14:G14,C$7:G$7)+SUM(H14:I14)*250</f>
        <v>1050</v>
      </c>
      <c r="E36" s="4"/>
      <c r="F36" s="4"/>
      <c r="G36" s="4"/>
      <c r="H36" s="4"/>
      <c r="I36" s="4"/>
      <c r="L36" s="24"/>
    </row>
    <row r="37" spans="1:12" x14ac:dyDescent="0.2">
      <c r="A37" s="4"/>
      <c r="B37" s="43">
        <v>8</v>
      </c>
      <c r="C37" s="190">
        <f t="shared" si="1"/>
        <v>1750</v>
      </c>
      <c r="D37" s="190">
        <f t="shared" si="2"/>
        <v>1550</v>
      </c>
      <c r="E37" s="4"/>
      <c r="F37" s="4"/>
      <c r="G37" s="4"/>
      <c r="H37" s="4"/>
      <c r="I37" s="4"/>
      <c r="L37" s="24"/>
    </row>
    <row r="38" spans="1:12" x14ac:dyDescent="0.2">
      <c r="A38" s="4"/>
      <c r="B38" s="43">
        <v>9</v>
      </c>
      <c r="C38" s="190">
        <f t="shared" si="1"/>
        <v>3400</v>
      </c>
      <c r="D38" s="190">
        <f t="shared" si="2"/>
        <v>2200</v>
      </c>
      <c r="E38" s="4"/>
      <c r="F38" s="4"/>
      <c r="G38" s="4"/>
      <c r="H38" s="4"/>
      <c r="I38" s="4"/>
      <c r="L38" s="24"/>
    </row>
    <row r="39" spans="1:12" x14ac:dyDescent="0.2">
      <c r="A39" s="4"/>
      <c r="B39" s="150">
        <v>10</v>
      </c>
      <c r="C39" s="193">
        <f t="shared" si="1"/>
        <v>950</v>
      </c>
      <c r="D39" s="193">
        <f t="shared" si="2"/>
        <v>950</v>
      </c>
      <c r="E39" s="4"/>
      <c r="F39" s="4"/>
      <c r="G39" s="4"/>
      <c r="H39" s="4"/>
      <c r="I39" s="4"/>
      <c r="L39" s="24"/>
    </row>
    <row r="40" spans="1:12" x14ac:dyDescent="0.2">
      <c r="A40" s="4"/>
      <c r="B40" s="43" t="s">
        <v>338</v>
      </c>
      <c r="C40" s="190">
        <f>AVERAGE(C30:C39)</f>
        <v>1725</v>
      </c>
      <c r="D40" s="190">
        <f>AVERAGE(D30:D39)</f>
        <v>1300</v>
      </c>
      <c r="E40" s="4"/>
      <c r="F40" s="4"/>
      <c r="G40" s="4"/>
      <c r="H40" s="4"/>
      <c r="I40" s="4"/>
      <c r="L40" s="24"/>
    </row>
    <row r="41" spans="1:12" x14ac:dyDescent="0.2">
      <c r="A41" s="4"/>
      <c r="B41" s="4"/>
      <c r="C41" s="4"/>
      <c r="D41" s="4"/>
      <c r="E41" s="4"/>
      <c r="F41" s="4"/>
      <c r="G41" s="4"/>
      <c r="H41" s="4"/>
      <c r="I41" s="4"/>
      <c r="L41" s="24"/>
    </row>
    <row r="42" spans="1:12" x14ac:dyDescent="0.2">
      <c r="A42" s="22"/>
      <c r="B42" s="4" t="s">
        <v>345</v>
      </c>
      <c r="C42" s="23"/>
      <c r="D42" s="4"/>
      <c r="E42" s="4"/>
      <c r="F42" s="4"/>
      <c r="G42" s="4"/>
      <c r="H42" s="4"/>
      <c r="I42" s="4"/>
    </row>
    <row r="43" spans="1:12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12" ht="48" customHeight="1" x14ac:dyDescent="0.2">
      <c r="A44" s="4"/>
      <c r="B44" s="148" t="s">
        <v>51</v>
      </c>
      <c r="C44" s="147" t="s">
        <v>340</v>
      </c>
      <c r="D44" s="109" t="s">
        <v>316</v>
      </c>
      <c r="E44" s="4"/>
      <c r="G44" s="32" t="s">
        <v>346</v>
      </c>
      <c r="H44" s="148" t="s">
        <v>51</v>
      </c>
      <c r="I44" s="109" t="s">
        <v>316</v>
      </c>
    </row>
    <row r="45" spans="1:12" x14ac:dyDescent="0.2">
      <c r="A45" s="4"/>
      <c r="B45" s="43">
        <v>1</v>
      </c>
      <c r="C45" s="190">
        <f>D30</f>
        <v>875</v>
      </c>
      <c r="D45" s="104">
        <f>C45/C$40</f>
        <v>0.50724637681159424</v>
      </c>
      <c r="E45" s="4"/>
      <c r="H45" s="43">
        <v>1</v>
      </c>
      <c r="I45" s="104">
        <v>0.50724637681159424</v>
      </c>
    </row>
    <row r="46" spans="1:12" x14ac:dyDescent="0.2">
      <c r="A46" s="4"/>
      <c r="B46" s="43">
        <v>2</v>
      </c>
      <c r="C46" s="190">
        <f t="shared" ref="C46:C54" si="3">D31</f>
        <v>1275</v>
      </c>
      <c r="D46" s="104">
        <f t="shared" ref="D46:D54" si="4">C46/C$40</f>
        <v>0.73913043478260865</v>
      </c>
      <c r="E46" s="4"/>
      <c r="H46" s="43">
        <v>10</v>
      </c>
      <c r="I46" s="104">
        <v>0.55072463768115942</v>
      </c>
    </row>
    <row r="47" spans="1:12" x14ac:dyDescent="0.2">
      <c r="A47" s="4"/>
      <c r="B47" s="43">
        <v>3</v>
      </c>
      <c r="C47" s="190">
        <f t="shared" si="3"/>
        <v>1300</v>
      </c>
      <c r="D47" s="104">
        <f t="shared" si="4"/>
        <v>0.75362318840579712</v>
      </c>
      <c r="E47" s="4"/>
      <c r="H47" s="43">
        <v>7</v>
      </c>
      <c r="I47" s="104">
        <v>0.60869565217391308</v>
      </c>
    </row>
    <row r="48" spans="1:12" x14ac:dyDescent="0.2">
      <c r="A48" s="4"/>
      <c r="B48" s="43">
        <v>4</v>
      </c>
      <c r="C48" s="190">
        <f t="shared" si="3"/>
        <v>1425</v>
      </c>
      <c r="D48" s="104">
        <f>C48/C$40</f>
        <v>0.82608695652173914</v>
      </c>
      <c r="E48" s="4"/>
      <c r="H48" s="43">
        <v>6</v>
      </c>
      <c r="I48" s="104">
        <v>0.62318840579710144</v>
      </c>
    </row>
    <row r="49" spans="1:14" x14ac:dyDescent="0.2">
      <c r="A49" s="4"/>
      <c r="B49" s="43">
        <v>5</v>
      </c>
      <c r="C49" s="190">
        <f t="shared" si="3"/>
        <v>1300</v>
      </c>
      <c r="D49" s="104">
        <f t="shared" si="4"/>
        <v>0.75362318840579712</v>
      </c>
      <c r="E49" s="4"/>
      <c r="H49" s="43">
        <v>2</v>
      </c>
      <c r="I49" s="104">
        <v>0.73913043478260865</v>
      </c>
    </row>
    <row r="50" spans="1:14" x14ac:dyDescent="0.2">
      <c r="A50" s="4"/>
      <c r="B50" s="43">
        <v>6</v>
      </c>
      <c r="C50" s="190">
        <f>D35</f>
        <v>1075</v>
      </c>
      <c r="D50" s="104">
        <f t="shared" si="4"/>
        <v>0.62318840579710144</v>
      </c>
      <c r="E50" s="4"/>
      <c r="H50" s="43">
        <v>3</v>
      </c>
      <c r="I50" s="104">
        <v>0.75362318840579712</v>
      </c>
      <c r="J50" s="32" t="s">
        <v>352</v>
      </c>
    </row>
    <row r="51" spans="1:14" x14ac:dyDescent="0.2">
      <c r="A51" s="4"/>
      <c r="B51" s="43">
        <v>7</v>
      </c>
      <c r="C51" s="190">
        <f t="shared" si="3"/>
        <v>1050</v>
      </c>
      <c r="D51" s="104">
        <f t="shared" si="4"/>
        <v>0.60869565217391308</v>
      </c>
      <c r="E51" s="4"/>
      <c r="H51" s="43">
        <v>5</v>
      </c>
      <c r="I51" s="104">
        <v>0.75362318840579712</v>
      </c>
      <c r="J51" s="32" t="s">
        <v>353</v>
      </c>
    </row>
    <row r="52" spans="1:14" x14ac:dyDescent="0.2">
      <c r="A52" s="4"/>
      <c r="B52" s="43">
        <v>8</v>
      </c>
      <c r="C52" s="190">
        <f t="shared" si="3"/>
        <v>1550</v>
      </c>
      <c r="D52" s="104">
        <f t="shared" si="4"/>
        <v>0.89855072463768115</v>
      </c>
      <c r="E52" s="4"/>
      <c r="H52" s="43">
        <v>4</v>
      </c>
      <c r="I52" s="104">
        <v>0.82608695652173914</v>
      </c>
    </row>
    <row r="53" spans="1:14" x14ac:dyDescent="0.2">
      <c r="A53" s="22"/>
      <c r="B53" s="43">
        <v>9</v>
      </c>
      <c r="C53" s="190">
        <f t="shared" si="3"/>
        <v>2200</v>
      </c>
      <c r="D53" s="104">
        <f t="shared" si="4"/>
        <v>1.2753623188405796</v>
      </c>
      <c r="E53" s="4"/>
      <c r="H53" s="43">
        <v>8</v>
      </c>
      <c r="I53" s="104">
        <v>0.89855072463768115</v>
      </c>
    </row>
    <row r="54" spans="1:14" x14ac:dyDescent="0.2">
      <c r="A54" s="4"/>
      <c r="B54" s="43">
        <v>10</v>
      </c>
      <c r="C54" s="190">
        <f t="shared" si="3"/>
        <v>950</v>
      </c>
      <c r="D54" s="104">
        <f t="shared" si="4"/>
        <v>0.55072463768115942</v>
      </c>
      <c r="E54" s="4"/>
      <c r="H54" s="43">
        <v>9</v>
      </c>
      <c r="I54" s="104">
        <v>1.2753623188405796</v>
      </c>
      <c r="K54" s="4"/>
      <c r="L54" s="23"/>
      <c r="M54" s="4"/>
    </row>
    <row r="55" spans="1:14" x14ac:dyDescent="0.2">
      <c r="A55" s="4"/>
      <c r="B55" s="4"/>
      <c r="C55" s="4"/>
      <c r="D55" s="4"/>
      <c r="E55" s="4"/>
      <c r="F55" s="4"/>
      <c r="G55" s="4"/>
      <c r="H55" s="4"/>
      <c r="I55" s="4"/>
      <c r="L55" s="24"/>
      <c r="M55" s="24"/>
      <c r="N55" s="24"/>
    </row>
    <row r="56" spans="1:14" x14ac:dyDescent="0.2">
      <c r="A56" s="4"/>
      <c r="B56" s="183" t="s">
        <v>347</v>
      </c>
      <c r="C56" s="4"/>
      <c r="D56" s="4"/>
      <c r="E56" s="4"/>
      <c r="F56" s="4"/>
      <c r="G56" s="4"/>
      <c r="H56" s="4"/>
      <c r="I56" s="4"/>
      <c r="L56" s="24"/>
      <c r="M56" s="24"/>
      <c r="N56" s="24"/>
    </row>
    <row r="57" spans="1:14" x14ac:dyDescent="0.2">
      <c r="A57" s="4"/>
      <c r="B57" s="4"/>
      <c r="C57" s="4"/>
      <c r="D57" s="4"/>
      <c r="E57" s="4"/>
      <c r="F57" s="4"/>
      <c r="G57" s="4"/>
      <c r="H57" s="4"/>
      <c r="I57" s="4"/>
      <c r="L57" s="24"/>
      <c r="M57" s="24"/>
      <c r="N57" s="24"/>
    </row>
    <row r="58" spans="1:14" ht="35" x14ac:dyDescent="0.25">
      <c r="A58" s="4"/>
      <c r="B58" s="148" t="s">
        <v>348</v>
      </c>
      <c r="C58" s="147" t="s">
        <v>349</v>
      </c>
      <c r="D58" s="147" t="s">
        <v>350</v>
      </c>
      <c r="E58" s="147" t="s">
        <v>351</v>
      </c>
      <c r="F58" s="194" t="s">
        <v>458</v>
      </c>
      <c r="G58" s="194" t="s">
        <v>460</v>
      </c>
      <c r="H58" s="55"/>
      <c r="I58" s="4"/>
      <c r="L58" s="24"/>
      <c r="M58" s="24"/>
      <c r="N58" s="24"/>
    </row>
    <row r="59" spans="1:14" x14ac:dyDescent="0.2">
      <c r="A59" s="4"/>
      <c r="B59" s="43">
        <v>0</v>
      </c>
      <c r="C59" s="42">
        <v>0</v>
      </c>
      <c r="D59" s="42">
        <f>SUM(C60:C$74)</f>
        <v>10</v>
      </c>
      <c r="E59" s="106">
        <f>D59/D$59</f>
        <v>1</v>
      </c>
      <c r="F59" s="104">
        <f t="shared" ref="F59:F72" si="5">F60+(B60-B59)*E59</f>
        <v>1</v>
      </c>
      <c r="G59" s="108">
        <f>F59+B59-1</f>
        <v>0</v>
      </c>
      <c r="H59" s="4"/>
      <c r="I59" s="4"/>
      <c r="L59" s="24"/>
      <c r="M59" s="24"/>
      <c r="N59" s="24"/>
    </row>
    <row r="60" spans="1:14" x14ac:dyDescent="0.2">
      <c r="A60" s="4"/>
      <c r="B60" s="43">
        <v>0.25</v>
      </c>
      <c r="C60" s="42">
        <v>0</v>
      </c>
      <c r="D60" s="42">
        <f>SUM(C61:C$74)</f>
        <v>10</v>
      </c>
      <c r="E60" s="106">
        <f t="shared" ref="E60:E74" si="6">D60/D$59</f>
        <v>1</v>
      </c>
      <c r="F60" s="104">
        <f t="shared" si="5"/>
        <v>0.75</v>
      </c>
      <c r="G60" s="108">
        <f t="shared" ref="G60:G74" si="7">F60+B60-1</f>
        <v>0</v>
      </c>
      <c r="H60" s="4"/>
      <c r="I60" s="4"/>
      <c r="L60" s="24"/>
      <c r="M60" s="24"/>
      <c r="N60" s="24"/>
    </row>
    <row r="61" spans="1:14" x14ac:dyDescent="0.2">
      <c r="A61" s="4"/>
      <c r="B61" s="43">
        <v>0.5</v>
      </c>
      <c r="C61" s="42">
        <v>0</v>
      </c>
      <c r="D61" s="42">
        <f>SUM(C62:C$74)</f>
        <v>10</v>
      </c>
      <c r="E61" s="106">
        <f t="shared" si="6"/>
        <v>1</v>
      </c>
      <c r="F61" s="104">
        <f t="shared" si="5"/>
        <v>0.5</v>
      </c>
      <c r="G61" s="108">
        <f t="shared" si="7"/>
        <v>0</v>
      </c>
      <c r="H61" s="4"/>
      <c r="I61" s="4"/>
      <c r="L61" s="24"/>
      <c r="M61" s="24"/>
      <c r="N61" s="24"/>
    </row>
    <row r="62" spans="1:14" x14ac:dyDescent="0.2">
      <c r="A62" s="4"/>
      <c r="B62" s="143">
        <f>I45</f>
        <v>0.50724637681159424</v>
      </c>
      <c r="C62" s="42">
        <v>1</v>
      </c>
      <c r="D62" s="42">
        <f>SUM(C63:C$74)</f>
        <v>9</v>
      </c>
      <c r="E62" s="106">
        <f>D62/D$59</f>
        <v>0.9</v>
      </c>
      <c r="F62" s="104">
        <f>F63+(B63-B62)*E62</f>
        <v>0.49275362318840582</v>
      </c>
      <c r="G62" s="108">
        <f t="shared" si="7"/>
        <v>0</v>
      </c>
      <c r="H62" s="4"/>
      <c r="I62" s="4"/>
      <c r="L62" s="24"/>
      <c r="M62" s="24"/>
      <c r="N62" s="24"/>
    </row>
    <row r="63" spans="1:14" x14ac:dyDescent="0.2">
      <c r="A63" s="4"/>
      <c r="B63" s="143">
        <f t="shared" ref="B63:B65" si="8">I46</f>
        <v>0.55072463768115942</v>
      </c>
      <c r="C63" s="42">
        <v>1</v>
      </c>
      <c r="D63" s="42">
        <f>SUM(C64:C$74)</f>
        <v>8</v>
      </c>
      <c r="E63" s="106">
        <f t="shared" si="6"/>
        <v>0.8</v>
      </c>
      <c r="F63" s="104">
        <f t="shared" si="5"/>
        <v>0.45362318840579713</v>
      </c>
      <c r="G63" s="108">
        <f t="shared" si="7"/>
        <v>4.3478260869564966E-3</v>
      </c>
      <c r="H63" s="4"/>
      <c r="I63" s="4"/>
      <c r="L63" s="24"/>
      <c r="M63" s="24"/>
      <c r="N63" s="24"/>
    </row>
    <row r="64" spans="1:14" x14ac:dyDescent="0.2">
      <c r="A64" s="4"/>
      <c r="B64" s="143">
        <f t="shared" si="8"/>
        <v>0.60869565217391308</v>
      </c>
      <c r="C64" s="42">
        <v>1</v>
      </c>
      <c r="D64" s="42">
        <f>SUM(C65:C$74)</f>
        <v>7</v>
      </c>
      <c r="E64" s="106">
        <f t="shared" si="6"/>
        <v>0.7</v>
      </c>
      <c r="F64" s="104">
        <f t="shared" si="5"/>
        <v>0.4072463768115942</v>
      </c>
      <c r="G64" s="108">
        <f t="shared" si="7"/>
        <v>1.5942028985507228E-2</v>
      </c>
      <c r="H64" s="4"/>
      <c r="I64" s="4"/>
      <c r="L64" s="4"/>
      <c r="M64" s="23"/>
      <c r="N64" s="4"/>
    </row>
    <row r="65" spans="1:14" x14ac:dyDescent="0.2">
      <c r="A65" s="4"/>
      <c r="B65" s="143">
        <f t="shared" si="8"/>
        <v>0.62318840579710144</v>
      </c>
      <c r="C65" s="42">
        <v>1</v>
      </c>
      <c r="D65" s="42">
        <f>SUM(C66:C$74)</f>
        <v>6</v>
      </c>
      <c r="E65" s="106">
        <f t="shared" si="6"/>
        <v>0.6</v>
      </c>
      <c r="F65" s="104">
        <f t="shared" si="5"/>
        <v>0.39710144927536234</v>
      </c>
      <c r="G65" s="108">
        <f t="shared" si="7"/>
        <v>2.0289855072463725E-2</v>
      </c>
      <c r="H65" s="4"/>
      <c r="I65" s="4"/>
      <c r="L65" s="24"/>
      <c r="M65" s="24"/>
      <c r="N65" s="24"/>
    </row>
    <row r="66" spans="1:14" x14ac:dyDescent="0.2">
      <c r="A66" s="4"/>
      <c r="B66" s="143">
        <f>I49</f>
        <v>0.73913043478260865</v>
      </c>
      <c r="C66" s="42">
        <v>1</v>
      </c>
      <c r="D66" s="42">
        <f>SUM(C67:C$74)</f>
        <v>5</v>
      </c>
      <c r="E66" s="106">
        <f t="shared" si="6"/>
        <v>0.5</v>
      </c>
      <c r="F66" s="104">
        <f t="shared" si="5"/>
        <v>0.327536231884058</v>
      </c>
      <c r="G66" s="108">
        <f t="shared" si="7"/>
        <v>6.6666666666666652E-2</v>
      </c>
      <c r="H66" s="4"/>
      <c r="I66" s="4"/>
      <c r="L66" s="24"/>
      <c r="M66" s="24"/>
      <c r="N66" s="24"/>
    </row>
    <row r="67" spans="1:14" x14ac:dyDescent="0.2">
      <c r="A67" s="4"/>
      <c r="B67" s="143">
        <v>0.75</v>
      </c>
      <c r="C67" s="42">
        <v>0</v>
      </c>
      <c r="D67" s="42">
        <f>SUM(C68:C$74)</f>
        <v>5</v>
      </c>
      <c r="E67" s="106">
        <f>D67/D$59</f>
        <v>0.5</v>
      </c>
      <c r="F67" s="104">
        <f t="shared" si="5"/>
        <v>0.32210144927536233</v>
      </c>
      <c r="G67" s="108">
        <f t="shared" si="7"/>
        <v>7.2101449275362217E-2</v>
      </c>
      <c r="H67" s="4"/>
      <c r="I67" s="4"/>
      <c r="L67" s="24"/>
      <c r="M67" s="24"/>
      <c r="N67" s="24"/>
    </row>
    <row r="68" spans="1:14" x14ac:dyDescent="0.2">
      <c r="A68" s="4"/>
      <c r="B68" s="143">
        <f t="shared" ref="B68" si="9">I50</f>
        <v>0.75362318840579712</v>
      </c>
      <c r="C68" s="42">
        <v>2</v>
      </c>
      <c r="D68" s="42">
        <f>SUM(C69:C$74)</f>
        <v>3</v>
      </c>
      <c r="E68" s="106">
        <f t="shared" si="6"/>
        <v>0.3</v>
      </c>
      <c r="F68" s="104">
        <f t="shared" si="5"/>
        <v>0.32028985507246377</v>
      </c>
      <c r="G68" s="108">
        <f t="shared" si="7"/>
        <v>7.3913043478260887E-2</v>
      </c>
      <c r="H68" s="4"/>
      <c r="I68" s="4"/>
      <c r="L68" s="24"/>
      <c r="M68" s="24"/>
      <c r="N68" s="24"/>
    </row>
    <row r="69" spans="1:14" x14ac:dyDescent="0.2">
      <c r="A69" s="4"/>
      <c r="B69" s="143">
        <f>I52</f>
        <v>0.82608695652173914</v>
      </c>
      <c r="C69" s="42">
        <v>1</v>
      </c>
      <c r="D69" s="42">
        <f>SUM(C70:C$74)</f>
        <v>2</v>
      </c>
      <c r="E69" s="106">
        <f t="shared" si="6"/>
        <v>0.2</v>
      </c>
      <c r="F69" s="104">
        <f t="shared" si="5"/>
        <v>0.29855072463768118</v>
      </c>
      <c r="G69" s="108">
        <f t="shared" si="7"/>
        <v>0.12463768115942031</v>
      </c>
      <c r="H69" s="4"/>
      <c r="I69" s="4"/>
      <c r="L69" s="24"/>
      <c r="M69" s="24"/>
      <c r="N69" s="24"/>
    </row>
    <row r="70" spans="1:14" x14ac:dyDescent="0.2">
      <c r="A70" s="4"/>
      <c r="B70" s="143">
        <f>I53</f>
        <v>0.89855072463768115</v>
      </c>
      <c r="C70" s="42">
        <v>1</v>
      </c>
      <c r="D70" s="42">
        <f>SUM(C71:C$74)</f>
        <v>1</v>
      </c>
      <c r="E70" s="106">
        <f t="shared" si="6"/>
        <v>0.1</v>
      </c>
      <c r="F70" s="104">
        <f t="shared" si="5"/>
        <v>0.28405797101449276</v>
      </c>
      <c r="G70" s="108">
        <f t="shared" si="7"/>
        <v>0.18260869565217397</v>
      </c>
      <c r="H70" s="4"/>
      <c r="I70" s="4"/>
      <c r="L70" s="24"/>
      <c r="M70" s="24"/>
      <c r="N70" s="24"/>
    </row>
    <row r="71" spans="1:14" x14ac:dyDescent="0.2">
      <c r="A71" s="4"/>
      <c r="B71" s="149">
        <v>1</v>
      </c>
      <c r="C71" s="42">
        <v>0</v>
      </c>
      <c r="D71" s="42">
        <f>SUM(C72:C$74)</f>
        <v>1</v>
      </c>
      <c r="E71" s="106">
        <f t="shared" si="6"/>
        <v>0.1</v>
      </c>
      <c r="F71" s="104">
        <f t="shared" si="5"/>
        <v>0.2739130434782609</v>
      </c>
      <c r="G71" s="108">
        <f t="shared" si="7"/>
        <v>0.27391304347826084</v>
      </c>
      <c r="H71" s="4"/>
      <c r="I71" s="4"/>
      <c r="L71" s="24"/>
      <c r="M71" s="24"/>
      <c r="N71" s="24"/>
    </row>
    <row r="72" spans="1:14" x14ac:dyDescent="0.2">
      <c r="A72" s="4"/>
      <c r="B72" s="43">
        <v>1.25</v>
      </c>
      <c r="C72" s="42">
        <v>0</v>
      </c>
      <c r="D72" s="42">
        <f>SUM(C73:C$74)</f>
        <v>1</v>
      </c>
      <c r="E72" s="106">
        <f t="shared" si="6"/>
        <v>0.1</v>
      </c>
      <c r="F72" s="104">
        <f t="shared" si="5"/>
        <v>0.24891304347826088</v>
      </c>
      <c r="G72" s="108">
        <f>F72+B72-1</f>
        <v>0.49891304347826093</v>
      </c>
      <c r="H72" s="4"/>
      <c r="I72" s="4"/>
      <c r="L72" s="24"/>
      <c r="M72" s="24"/>
      <c r="N72" s="24"/>
    </row>
    <row r="73" spans="1:14" x14ac:dyDescent="0.2">
      <c r="A73" s="4"/>
      <c r="B73" s="143">
        <f>I54</f>
        <v>1.2753623188405796</v>
      </c>
      <c r="C73" s="42">
        <v>1</v>
      </c>
      <c r="D73" s="42">
        <f>SUM(C74:C$74)</f>
        <v>0</v>
      </c>
      <c r="E73" s="106">
        <f t="shared" si="6"/>
        <v>0</v>
      </c>
      <c r="F73" s="104">
        <f>F74+(B74-B73)*E73</f>
        <v>0.24637681159420291</v>
      </c>
      <c r="G73" s="108">
        <f t="shared" si="7"/>
        <v>0.52173913043478248</v>
      </c>
      <c r="H73" s="4"/>
      <c r="I73" s="4"/>
      <c r="L73" s="4"/>
      <c r="M73" s="23"/>
      <c r="N73" s="4"/>
    </row>
    <row r="74" spans="1:14" x14ac:dyDescent="0.2">
      <c r="A74" s="4"/>
      <c r="B74" s="43">
        <v>1.5</v>
      </c>
      <c r="C74" s="42">
        <v>0</v>
      </c>
      <c r="D74" s="42">
        <f>SUM(C$74:C75)</f>
        <v>0</v>
      </c>
      <c r="E74" s="106">
        <f t="shared" si="6"/>
        <v>0</v>
      </c>
      <c r="F74" s="107">
        <f>G32</f>
        <v>0.24637681159420291</v>
      </c>
      <c r="G74" s="108">
        <f t="shared" si="7"/>
        <v>0.74637681159420288</v>
      </c>
      <c r="H74" s="4"/>
      <c r="I74" s="4"/>
      <c r="L74" s="24"/>
      <c r="M74" s="24"/>
      <c r="N74" s="24"/>
    </row>
    <row r="75" spans="1:14" ht="18" x14ac:dyDescent="0.25">
      <c r="A75" s="4"/>
      <c r="B75" s="4"/>
      <c r="C75" s="4"/>
      <c r="D75" s="4"/>
      <c r="E75" s="4"/>
      <c r="F75" s="4" t="s">
        <v>354</v>
      </c>
      <c r="G75" s="4"/>
      <c r="H75" s="4"/>
      <c r="I75" s="4"/>
      <c r="L75" s="24"/>
      <c r="M75" s="24"/>
      <c r="N75" s="24"/>
    </row>
    <row r="76" spans="1:14" ht="19" x14ac:dyDescent="0.25">
      <c r="A76" s="21" t="s">
        <v>5</v>
      </c>
      <c r="B76" s="4"/>
      <c r="C76" s="4"/>
      <c r="D76" s="4"/>
      <c r="E76" s="4"/>
      <c r="F76" s="4"/>
      <c r="G76" s="4"/>
      <c r="H76" s="4"/>
      <c r="I76" s="4"/>
      <c r="L76" s="24"/>
      <c r="M76" s="24"/>
      <c r="N76" s="24"/>
    </row>
    <row r="77" spans="1:14" x14ac:dyDescent="0.2">
      <c r="A77" s="4" t="s">
        <v>355</v>
      </c>
      <c r="B77" s="4"/>
      <c r="C77" s="4"/>
      <c r="D77" s="4"/>
      <c r="E77" s="4"/>
      <c r="F77" s="4"/>
      <c r="G77" s="4"/>
      <c r="H77" s="4"/>
      <c r="I77" s="4"/>
      <c r="L77" s="24"/>
      <c r="M77" s="24"/>
      <c r="N77" s="24"/>
    </row>
    <row r="78" spans="1:14" x14ac:dyDescent="0.2">
      <c r="A78" s="4"/>
      <c r="B78" s="4"/>
      <c r="C78" s="4"/>
      <c r="D78" s="4"/>
      <c r="E78" s="4"/>
      <c r="F78" s="4"/>
      <c r="G78" s="4"/>
      <c r="H78" s="4"/>
      <c r="I78" s="4"/>
      <c r="L78" s="24"/>
      <c r="M78" s="24"/>
      <c r="N78" s="24"/>
    </row>
    <row r="79" spans="1:14" x14ac:dyDescent="0.2">
      <c r="A79" s="4" t="s">
        <v>356</v>
      </c>
      <c r="B79" s="12"/>
      <c r="C79" s="4"/>
      <c r="D79" s="4"/>
      <c r="E79" s="4"/>
      <c r="F79" s="4"/>
      <c r="G79" s="4"/>
      <c r="H79" s="4"/>
      <c r="I79" s="4"/>
      <c r="L79" s="24"/>
      <c r="M79" s="24"/>
      <c r="N79" s="24"/>
    </row>
    <row r="80" spans="1:14" x14ac:dyDescent="0.2">
      <c r="A80" s="4" t="s">
        <v>357</v>
      </c>
      <c r="B80" s="59"/>
      <c r="C80" s="4"/>
      <c r="D80" s="4"/>
      <c r="E80" s="4"/>
      <c r="F80" s="4"/>
      <c r="G80" s="4"/>
      <c r="H80" s="4"/>
      <c r="I80" s="4"/>
      <c r="L80" s="24"/>
      <c r="M80" s="24"/>
      <c r="N80" s="24"/>
    </row>
    <row r="81" spans="1:65" x14ac:dyDescent="0.2">
      <c r="A81" s="4" t="s">
        <v>358</v>
      </c>
      <c r="B81" s="59"/>
      <c r="C81" s="4"/>
      <c r="D81" s="4"/>
      <c r="E81" s="4"/>
      <c r="F81" s="4"/>
      <c r="G81" s="4"/>
      <c r="H81" s="4"/>
      <c r="I81" s="4"/>
      <c r="L81" s="24"/>
      <c r="M81" s="24"/>
      <c r="N81" s="24"/>
    </row>
    <row r="82" spans="1:65" x14ac:dyDescent="0.2">
      <c r="A82" s="4"/>
      <c r="B82" s="4"/>
      <c r="C82" s="4"/>
      <c r="D82" s="4"/>
      <c r="E82" s="4"/>
      <c r="F82" s="4"/>
      <c r="G82" s="4"/>
      <c r="H82" s="4"/>
      <c r="I82" s="4"/>
      <c r="L82" s="24"/>
      <c r="M82" s="24"/>
      <c r="N82" s="24"/>
    </row>
    <row r="83" spans="1:65" x14ac:dyDescent="0.2">
      <c r="A83" s="4" t="s">
        <v>359</v>
      </c>
      <c r="B83" s="4"/>
      <c r="C83" s="4"/>
      <c r="D83" s="4"/>
      <c r="E83" s="4"/>
      <c r="F83" s="4"/>
      <c r="G83" s="4"/>
      <c r="H83" s="4"/>
      <c r="I83" s="4"/>
      <c r="L83" s="4"/>
      <c r="M83" s="23"/>
      <c r="N83" s="4"/>
    </row>
    <row r="84" spans="1:65" x14ac:dyDescent="0.2">
      <c r="A84" s="4" t="s">
        <v>360</v>
      </c>
      <c r="B84" s="4"/>
      <c r="C84" s="4"/>
      <c r="D84" s="4"/>
      <c r="E84" s="4"/>
      <c r="F84" s="4"/>
      <c r="G84" s="4"/>
      <c r="H84" s="4"/>
      <c r="I84" s="4"/>
      <c r="L84" s="24"/>
      <c r="M84" s="24"/>
      <c r="N84" s="24"/>
    </row>
    <row r="85" spans="1:65" x14ac:dyDescent="0.2">
      <c r="A85" s="4"/>
      <c r="B85" s="4"/>
      <c r="C85" s="4"/>
      <c r="D85" s="4"/>
      <c r="E85" s="4"/>
      <c r="F85" s="4"/>
      <c r="G85" s="4"/>
      <c r="H85" s="4"/>
      <c r="I85" s="4"/>
      <c r="L85" s="24"/>
      <c r="M85" s="24"/>
      <c r="N85" s="24"/>
    </row>
    <row r="86" spans="1:65" ht="19" x14ac:dyDescent="0.25">
      <c r="A86" s="21" t="s">
        <v>6</v>
      </c>
      <c r="B86" s="4"/>
      <c r="C86" s="4"/>
      <c r="D86" s="4"/>
      <c r="E86" s="4"/>
      <c r="F86" s="4"/>
      <c r="G86" s="4"/>
      <c r="H86" s="4"/>
      <c r="I86" s="4"/>
      <c r="L86" s="24"/>
      <c r="M86" s="24"/>
      <c r="N86" s="24"/>
    </row>
    <row r="87" spans="1:65" x14ac:dyDescent="0.2">
      <c r="A87" s="4" t="s">
        <v>361</v>
      </c>
      <c r="B87" s="4"/>
      <c r="C87" s="4"/>
      <c r="D87" s="4"/>
      <c r="E87" s="4"/>
      <c r="F87" s="4"/>
      <c r="G87" s="4"/>
      <c r="H87" s="4"/>
      <c r="I87" s="4"/>
      <c r="L87" s="24"/>
      <c r="M87" s="24"/>
      <c r="N87" s="24"/>
    </row>
    <row r="88" spans="1:65" x14ac:dyDescent="0.2">
      <c r="A88" s="4"/>
      <c r="B88" s="4"/>
      <c r="C88" s="4"/>
      <c r="D88" s="4"/>
      <c r="E88" s="4"/>
      <c r="F88" s="4"/>
      <c r="G88" s="4"/>
      <c r="H88" s="4"/>
      <c r="I88" s="4"/>
      <c r="L88" s="24"/>
      <c r="M88" s="24"/>
      <c r="N88" s="24"/>
    </row>
    <row r="89" spans="1:65" x14ac:dyDescent="0.2">
      <c r="A89" s="4"/>
      <c r="B89" s="4"/>
      <c r="C89" s="4"/>
      <c r="D89" s="4"/>
      <c r="E89" s="4"/>
      <c r="F89" s="4"/>
      <c r="G89" s="4"/>
      <c r="H89" s="4"/>
      <c r="I89" s="4"/>
      <c r="L89" s="24"/>
      <c r="M89" s="24"/>
      <c r="N89" s="24"/>
    </row>
    <row r="90" spans="1:65" x14ac:dyDescent="0.2">
      <c r="A90" s="4"/>
      <c r="B90" s="4"/>
      <c r="C90" s="4"/>
      <c r="D90" s="4"/>
      <c r="E90" s="4"/>
      <c r="F90" s="4"/>
      <c r="G90" s="4"/>
      <c r="H90" s="4"/>
      <c r="I90" s="4"/>
      <c r="L90" s="24"/>
      <c r="M90" s="24"/>
      <c r="N90" s="24"/>
    </row>
    <row r="91" spans="1:65" x14ac:dyDescent="0.2">
      <c r="A91" s="4"/>
      <c r="B91" s="4"/>
      <c r="C91" s="4"/>
      <c r="D91" s="4"/>
      <c r="E91" s="4"/>
      <c r="F91" s="4"/>
      <c r="G91" s="4"/>
      <c r="H91" s="4"/>
      <c r="I91" s="4"/>
      <c r="L91" s="24"/>
      <c r="M91" s="24"/>
      <c r="N91" s="24"/>
    </row>
    <row r="92" spans="1:65" x14ac:dyDescent="0.2">
      <c r="A92" s="4"/>
      <c r="B92" s="4"/>
      <c r="C92" s="4"/>
      <c r="D92" s="4"/>
      <c r="E92" s="4"/>
      <c r="F92" s="4"/>
      <c r="G92" s="4"/>
      <c r="H92" s="4"/>
      <c r="I92" s="4"/>
      <c r="L92" s="24"/>
      <c r="M92" s="24"/>
      <c r="N92" s="24"/>
    </row>
    <row r="93" spans="1:65" x14ac:dyDescent="0.2">
      <c r="A93" s="4"/>
      <c r="B93" s="4"/>
      <c r="C93" s="4"/>
      <c r="D93" s="4"/>
      <c r="E93" s="4"/>
      <c r="F93" s="4"/>
      <c r="G93" s="4"/>
      <c r="H93" s="4"/>
      <c r="I93" s="4"/>
      <c r="L93" s="4"/>
      <c r="M93" s="23"/>
      <c r="N93" s="4"/>
    </row>
    <row r="94" spans="1:65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</row>
    <row r="95" spans="1:65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</row>
    <row r="96" spans="1:65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</row>
    <row r="97" spans="1:65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</row>
    <row r="98" spans="1:65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</row>
    <row r="99" spans="1:65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</row>
    <row r="100" spans="1:65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</row>
    <row r="101" spans="1:65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</row>
    <row r="102" spans="1:65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</row>
    <row r="103" spans="1:65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</row>
    <row r="104" spans="1:65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</row>
    <row r="105" spans="1:65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</row>
    <row r="106" spans="1:65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</row>
    <row r="107" spans="1:65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</row>
    <row r="108" spans="1:65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</row>
    <row r="109" spans="1:65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</row>
    <row r="110" spans="1:65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</row>
    <row r="111" spans="1:65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</row>
    <row r="112" spans="1:65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</row>
    <row r="113" spans="1:65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</row>
    <row r="114" spans="1:65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</row>
    <row r="115" spans="1:65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</row>
    <row r="116" spans="1:65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</row>
    <row r="117" spans="1:65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</row>
    <row r="118" spans="1:65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</row>
    <row r="119" spans="1:65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</row>
    <row r="120" spans="1:65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</row>
    <row r="121" spans="1:65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</row>
    <row r="122" spans="1:65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</row>
    <row r="123" spans="1:65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</row>
    <row r="124" spans="1:65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</row>
    <row r="125" spans="1:65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</row>
    <row r="126" spans="1:65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</row>
    <row r="127" spans="1:65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</row>
    <row r="128" spans="1:65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</row>
    <row r="129" spans="1:65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</row>
    <row r="130" spans="1:65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</row>
    <row r="131" spans="1:65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</row>
    <row r="132" spans="1:65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</row>
    <row r="133" spans="1:65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</row>
    <row r="134" spans="1:65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</row>
    <row r="135" spans="1:65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</row>
    <row r="136" spans="1:65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</row>
    <row r="137" spans="1:65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</row>
    <row r="138" spans="1:65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</row>
    <row r="139" spans="1:65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</row>
    <row r="140" spans="1:65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</row>
    <row r="141" spans="1:65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</row>
    <row r="142" spans="1:65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</row>
    <row r="143" spans="1:65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</row>
    <row r="144" spans="1:65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</row>
    <row r="145" spans="1:65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</row>
    <row r="146" spans="1:65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</row>
    <row r="147" spans="1:65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</row>
    <row r="148" spans="1:65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</row>
    <row r="149" spans="1:65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</row>
    <row r="150" spans="1:65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</row>
    <row r="151" spans="1:65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</row>
    <row r="152" spans="1:65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</row>
    <row r="153" spans="1:65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</row>
    <row r="154" spans="1:65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</row>
    <row r="155" spans="1:65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</row>
    <row r="156" spans="1:65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</row>
    <row r="157" spans="1:65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</row>
    <row r="158" spans="1:65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</row>
    <row r="159" spans="1:65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</row>
    <row r="160" spans="1:65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</row>
    <row r="161" spans="1:65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</row>
    <row r="162" spans="1:65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</row>
    <row r="163" spans="1:65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</row>
    <row r="164" spans="1:65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</row>
    <row r="165" spans="1:65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</row>
    <row r="166" spans="1:65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</row>
    <row r="167" spans="1:65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</row>
    <row r="168" spans="1:65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</row>
    <row r="169" spans="1:65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</row>
    <row r="170" spans="1:65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</row>
    <row r="171" spans="1:65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</row>
    <row r="172" spans="1:65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</row>
    <row r="173" spans="1:65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</row>
    <row r="174" spans="1:65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</row>
    <row r="175" spans="1:65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</row>
    <row r="176" spans="1:65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</row>
    <row r="177" spans="1:65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</row>
    <row r="178" spans="1:65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</row>
    <row r="179" spans="1:65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</row>
    <row r="180" spans="1:65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</row>
    <row r="181" spans="1:65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</row>
    <row r="182" spans="1:65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</row>
    <row r="183" spans="1:65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</row>
    <row r="184" spans="1:65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</row>
    <row r="185" spans="1:65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</row>
    <row r="186" spans="1:65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</row>
    <row r="187" spans="1:65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</row>
    <row r="188" spans="1:65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</row>
    <row r="189" spans="1:65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</row>
    <row r="190" spans="1:65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</row>
    <row r="191" spans="1:65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</row>
    <row r="192" spans="1:65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</row>
    <row r="193" spans="1:65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</row>
    <row r="194" spans="1:65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</row>
    <row r="195" spans="1:65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</row>
  </sheetData>
  <sortState xmlns:xlrd2="http://schemas.microsoft.com/office/spreadsheetml/2017/richdata2" ref="H45:I54">
    <sortCondition ref="I45:I54"/>
  </sortState>
  <mergeCells count="1">
    <mergeCell ref="C6:I6"/>
  </mergeCells>
  <pageMargins left="0.7" right="0.7" top="0.75" bottom="0.75" header="0.3" footer="0.3"/>
  <pageSetup orientation="portrait" horizontalDpi="0" verticalDpi="0"/>
  <ignoredErrors>
    <ignoredError sqref="C18:I18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BE45D-27D0-F94D-A54A-087192CC2B69}">
  <dimension ref="A1:BJ201"/>
  <sheetViews>
    <sheetView showGridLines="0" zoomScale="120" zoomScaleNormal="120" workbookViewId="0"/>
  </sheetViews>
  <sheetFormatPr baseColWidth="10" defaultRowHeight="16" x14ac:dyDescent="0.2"/>
  <cols>
    <col min="1" max="16384" width="10.83203125" style="18"/>
  </cols>
  <sheetData>
    <row r="1" spans="1:13" ht="19" x14ac:dyDescent="0.25">
      <c r="A1" s="16" t="s">
        <v>362</v>
      </c>
      <c r="B1" s="17"/>
      <c r="C1" s="17"/>
      <c r="D1" s="17"/>
      <c r="E1" s="17"/>
      <c r="F1" s="17"/>
      <c r="G1" s="17"/>
      <c r="H1" s="17"/>
      <c r="I1" s="17"/>
      <c r="J1" s="1"/>
    </row>
    <row r="2" spans="1:13" x14ac:dyDescent="0.2">
      <c r="A2" s="19"/>
      <c r="B2" s="17"/>
      <c r="C2" s="17"/>
      <c r="D2" s="17"/>
      <c r="E2" s="17"/>
      <c r="F2" s="17"/>
      <c r="G2" s="17"/>
      <c r="H2" s="17"/>
      <c r="I2" s="17"/>
      <c r="J2" s="1"/>
    </row>
    <row r="3" spans="1:13" ht="19" x14ac:dyDescent="0.25">
      <c r="A3" s="19"/>
      <c r="B3" s="136" t="s">
        <v>8</v>
      </c>
      <c r="C3" s="17"/>
      <c r="D3" s="17"/>
      <c r="E3" s="17"/>
      <c r="F3" s="17"/>
      <c r="G3" s="17"/>
      <c r="H3" s="17"/>
      <c r="I3" s="17"/>
      <c r="J3" s="1"/>
    </row>
    <row r="4" spans="1:13" x14ac:dyDescent="0.2">
      <c r="A4" s="19"/>
      <c r="B4" s="184" t="s">
        <v>461</v>
      </c>
      <c r="C4" s="17"/>
      <c r="D4" s="17"/>
      <c r="E4" s="17"/>
      <c r="F4" s="17"/>
      <c r="G4" s="17"/>
      <c r="H4" s="17"/>
      <c r="I4" s="17"/>
      <c r="J4" s="1"/>
    </row>
    <row r="5" spans="1:13" x14ac:dyDescent="0.2">
      <c r="A5" s="19"/>
      <c r="B5" s="17"/>
      <c r="C5" s="17"/>
      <c r="D5" s="17"/>
      <c r="E5" s="17"/>
      <c r="F5" s="17"/>
      <c r="G5" s="17"/>
      <c r="H5" s="17"/>
      <c r="I5" s="17"/>
      <c r="J5" s="1"/>
    </row>
    <row r="6" spans="1:13" ht="50" customHeight="1" x14ac:dyDescent="0.2">
      <c r="A6" s="19"/>
      <c r="B6" s="17"/>
      <c r="C6" s="132" t="s">
        <v>301</v>
      </c>
      <c r="D6" s="133" t="s">
        <v>300</v>
      </c>
      <c r="E6" s="95"/>
      <c r="F6" s="17"/>
      <c r="G6" s="17"/>
      <c r="H6" s="17"/>
      <c r="I6" s="17"/>
      <c r="J6" s="1"/>
    </row>
    <row r="7" spans="1:13" x14ac:dyDescent="0.2">
      <c r="A7" s="19"/>
      <c r="B7" s="17"/>
      <c r="C7" s="167">
        <v>50</v>
      </c>
      <c r="D7" s="134">
        <v>9</v>
      </c>
      <c r="E7" s="95"/>
      <c r="F7" s="17"/>
      <c r="G7" s="17"/>
      <c r="H7" s="17"/>
      <c r="I7" s="17"/>
      <c r="J7" s="1"/>
    </row>
    <row r="8" spans="1:13" x14ac:dyDescent="0.2">
      <c r="A8" s="19"/>
      <c r="B8" s="17"/>
      <c r="C8" s="167">
        <v>100</v>
      </c>
      <c r="D8" s="134">
        <v>2</v>
      </c>
      <c r="E8" s="95"/>
      <c r="F8" s="17"/>
      <c r="G8" s="17"/>
      <c r="H8" s="17"/>
      <c r="I8" s="17"/>
      <c r="J8" s="1"/>
      <c r="L8" s="111">
        <v>50</v>
      </c>
      <c r="M8" s="111">
        <v>9</v>
      </c>
    </row>
    <row r="9" spans="1:13" x14ac:dyDescent="0.2">
      <c r="A9" s="19"/>
      <c r="B9" s="17"/>
      <c r="C9" s="167">
        <v>150</v>
      </c>
      <c r="D9" s="134">
        <v>4</v>
      </c>
      <c r="E9" s="95"/>
      <c r="F9" s="17"/>
      <c r="G9" s="17"/>
      <c r="H9" s="17"/>
      <c r="I9" s="17"/>
      <c r="J9" s="1"/>
      <c r="L9" s="111">
        <v>100</v>
      </c>
      <c r="M9" s="111">
        <v>2</v>
      </c>
    </row>
    <row r="10" spans="1:13" x14ac:dyDescent="0.2">
      <c r="A10" s="19"/>
      <c r="B10" s="17"/>
      <c r="C10" s="167">
        <v>200</v>
      </c>
      <c r="D10" s="134">
        <v>8</v>
      </c>
      <c r="E10" s="95"/>
      <c r="F10" s="17"/>
      <c r="G10" s="17"/>
      <c r="H10" s="17"/>
      <c r="I10" s="17"/>
      <c r="J10" s="1"/>
      <c r="L10" s="111">
        <v>150</v>
      </c>
      <c r="M10" s="111">
        <v>4</v>
      </c>
    </row>
    <row r="11" spans="1:13" x14ac:dyDescent="0.2">
      <c r="A11" s="19"/>
      <c r="B11" s="17"/>
      <c r="C11" s="167">
        <v>250</v>
      </c>
      <c r="D11" s="134">
        <v>6</v>
      </c>
      <c r="E11" s="95"/>
      <c r="F11" s="17"/>
      <c r="G11" s="17"/>
      <c r="H11" s="17"/>
      <c r="I11" s="17"/>
      <c r="J11" s="1"/>
      <c r="L11" s="111">
        <v>200</v>
      </c>
      <c r="M11" s="111">
        <v>8</v>
      </c>
    </row>
    <row r="12" spans="1:13" x14ac:dyDescent="0.2">
      <c r="A12" s="19"/>
      <c r="B12" s="17"/>
      <c r="C12" s="167">
        <v>300</v>
      </c>
      <c r="D12" s="134">
        <v>2</v>
      </c>
      <c r="E12" s="95"/>
      <c r="F12" s="17"/>
      <c r="G12" s="17"/>
      <c r="H12" s="17"/>
      <c r="I12" s="17"/>
      <c r="J12" s="1"/>
      <c r="L12" s="111">
        <v>250</v>
      </c>
      <c r="M12" s="111">
        <v>6</v>
      </c>
    </row>
    <row r="13" spans="1:13" x14ac:dyDescent="0.2">
      <c r="A13" s="19"/>
      <c r="B13" s="17"/>
      <c r="C13" s="167">
        <v>400</v>
      </c>
      <c r="D13" s="134">
        <v>1</v>
      </c>
      <c r="E13" s="95"/>
      <c r="F13" s="17"/>
      <c r="G13" s="17"/>
      <c r="H13" s="17"/>
      <c r="I13" s="17"/>
      <c r="J13" s="1"/>
      <c r="L13" s="111">
        <v>600</v>
      </c>
      <c r="M13" s="111">
        <v>1</v>
      </c>
    </row>
    <row r="14" spans="1:13" x14ac:dyDescent="0.2">
      <c r="A14" s="19"/>
      <c r="B14" s="17"/>
      <c r="C14" s="167">
        <v>500</v>
      </c>
      <c r="D14" s="134">
        <v>4</v>
      </c>
      <c r="E14" s="95"/>
      <c r="F14" s="17"/>
      <c r="G14" s="17"/>
      <c r="H14" s="17"/>
      <c r="I14" s="17"/>
      <c r="J14" s="1"/>
      <c r="L14" s="111">
        <v>300</v>
      </c>
      <c r="M14" s="111">
        <v>2</v>
      </c>
    </row>
    <row r="15" spans="1:13" x14ac:dyDescent="0.2">
      <c r="A15" s="19"/>
      <c r="B15" s="17"/>
      <c r="C15" s="167">
        <v>600</v>
      </c>
      <c r="D15" s="134">
        <v>1</v>
      </c>
      <c r="E15" s="17"/>
      <c r="F15" s="17"/>
      <c r="G15" s="17"/>
      <c r="H15" s="17"/>
      <c r="I15" s="17"/>
      <c r="J15" s="1"/>
      <c r="L15" s="111">
        <v>400</v>
      </c>
      <c r="M15" s="111">
        <v>1</v>
      </c>
    </row>
    <row r="16" spans="1:13" x14ac:dyDescent="0.2">
      <c r="A16" s="19"/>
      <c r="B16" s="17"/>
      <c r="C16" s="167">
        <v>750</v>
      </c>
      <c r="D16" s="134">
        <v>7</v>
      </c>
      <c r="E16" s="17"/>
      <c r="F16" s="17"/>
      <c r="G16" s="17"/>
      <c r="H16" s="17"/>
      <c r="I16" s="17"/>
      <c r="J16" s="1"/>
      <c r="L16" s="111">
        <v>500</v>
      </c>
      <c r="M16" s="111">
        <v>4</v>
      </c>
    </row>
    <row r="17" spans="1:14" x14ac:dyDescent="0.2">
      <c r="A17" s="19"/>
      <c r="B17" s="17"/>
      <c r="C17" s="17"/>
      <c r="D17" s="17"/>
      <c r="E17" s="17"/>
      <c r="F17" s="17"/>
      <c r="G17" s="17"/>
      <c r="H17" s="17"/>
      <c r="I17" s="17"/>
      <c r="J17" s="1"/>
      <c r="L17" s="111">
        <v>750</v>
      </c>
      <c r="M17" s="111">
        <v>7</v>
      </c>
    </row>
    <row r="18" spans="1:14" x14ac:dyDescent="0.2">
      <c r="A18" s="19"/>
      <c r="B18" s="17" t="s">
        <v>0</v>
      </c>
      <c r="C18" s="17"/>
      <c r="D18" s="17"/>
      <c r="E18" s="17"/>
      <c r="F18" s="17"/>
      <c r="G18" s="17"/>
      <c r="H18" s="17"/>
      <c r="I18" s="17"/>
      <c r="J18" s="1"/>
    </row>
    <row r="19" spans="1:14" x14ac:dyDescent="0.2">
      <c r="A19" s="19"/>
      <c r="B19" s="17" t="s">
        <v>363</v>
      </c>
      <c r="C19" s="17"/>
      <c r="D19" s="17"/>
      <c r="E19" s="17"/>
      <c r="F19" s="17"/>
      <c r="G19" s="17"/>
      <c r="H19" s="17"/>
      <c r="I19" s="17"/>
      <c r="J19" s="1"/>
    </row>
    <row r="20" spans="1:14" x14ac:dyDescent="0.2">
      <c r="A20" s="19"/>
      <c r="B20" s="17" t="s">
        <v>364</v>
      </c>
      <c r="C20" s="17"/>
      <c r="D20" s="17"/>
      <c r="E20" s="17"/>
      <c r="F20" s="17"/>
      <c r="G20" s="17"/>
      <c r="H20" s="17"/>
      <c r="I20" s="17"/>
      <c r="J20" s="1"/>
    </row>
    <row r="21" spans="1:14" x14ac:dyDescent="0.2">
      <c r="A21" s="19"/>
      <c r="B21" s="17"/>
      <c r="C21" s="17"/>
      <c r="D21" s="17"/>
      <c r="E21" s="17"/>
      <c r="F21" s="17"/>
      <c r="G21" s="17"/>
      <c r="H21" s="17"/>
      <c r="I21" s="17"/>
      <c r="J21" s="1"/>
    </row>
    <row r="22" spans="1:14" x14ac:dyDescent="0.2">
      <c r="A22" s="19"/>
      <c r="B22" s="17" t="s">
        <v>1</v>
      </c>
      <c r="C22" s="17"/>
      <c r="D22" s="17"/>
      <c r="E22" s="17"/>
      <c r="F22" s="17"/>
      <c r="G22" s="17"/>
      <c r="H22" s="17"/>
      <c r="I22" s="17"/>
      <c r="J22" s="1"/>
    </row>
    <row r="23" spans="1:14" x14ac:dyDescent="0.2">
      <c r="A23" s="19"/>
      <c r="B23" s="17" t="s">
        <v>365</v>
      </c>
      <c r="C23" s="17"/>
      <c r="D23" s="17"/>
      <c r="E23" s="17"/>
      <c r="F23" s="17"/>
      <c r="G23" s="17"/>
      <c r="H23" s="17"/>
      <c r="I23" s="17"/>
      <c r="J23" s="1"/>
    </row>
    <row r="24" spans="1:14" x14ac:dyDescent="0.2">
      <c r="A24" s="19"/>
      <c r="B24" s="17"/>
      <c r="C24" s="17" t="s">
        <v>374</v>
      </c>
      <c r="D24" s="17"/>
      <c r="E24" s="17"/>
      <c r="F24" s="17"/>
      <c r="G24" s="17"/>
      <c r="H24" s="17"/>
      <c r="I24" s="17"/>
      <c r="J24" s="1"/>
    </row>
    <row r="25" spans="1:14" x14ac:dyDescent="0.2">
      <c r="A25" s="19"/>
      <c r="B25" s="17"/>
      <c r="C25" s="17" t="s">
        <v>366</v>
      </c>
      <c r="D25" s="17"/>
      <c r="E25" s="17"/>
      <c r="F25" s="17"/>
      <c r="G25" s="17"/>
      <c r="H25" s="17"/>
      <c r="I25" s="17"/>
      <c r="J25" s="1"/>
    </row>
    <row r="26" spans="1:14" ht="17" thickBot="1" x14ac:dyDescent="0.25">
      <c r="A26" s="20"/>
      <c r="B26" s="6"/>
      <c r="C26" s="64"/>
      <c r="D26" s="64"/>
      <c r="E26" s="64"/>
      <c r="F26" s="6"/>
      <c r="G26" s="6"/>
      <c r="H26" s="6"/>
      <c r="I26" s="6"/>
      <c r="J26" s="7"/>
    </row>
    <row r="27" spans="1:14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14" ht="19" x14ac:dyDescent="0.25">
      <c r="A28" s="21" t="s">
        <v>3</v>
      </c>
      <c r="B28" s="4"/>
      <c r="C28" s="4"/>
      <c r="D28" s="4"/>
      <c r="E28" s="4"/>
      <c r="F28" s="4"/>
      <c r="G28" s="4"/>
      <c r="H28" s="4"/>
      <c r="I28" s="4"/>
    </row>
    <row r="29" spans="1:14" ht="19" x14ac:dyDescent="0.25">
      <c r="A29" s="21"/>
      <c r="B29" s="4" t="s">
        <v>0</v>
      </c>
      <c r="C29" s="4"/>
      <c r="D29" s="4"/>
      <c r="E29" s="4"/>
      <c r="F29" s="4"/>
      <c r="G29" s="4"/>
      <c r="H29" s="4"/>
      <c r="I29" s="4"/>
    </row>
    <row r="30" spans="1:14" x14ac:dyDescent="0.2">
      <c r="A30" s="32"/>
      <c r="B30" s="32"/>
      <c r="C30" s="26" t="s">
        <v>315</v>
      </c>
      <c r="D30" s="96">
        <f>SUMPRODUCT(C7:C16,D7:D16)/SUM(D7:D16)</f>
        <v>300</v>
      </c>
      <c r="E30" s="32"/>
      <c r="F30" s="4"/>
      <c r="I30" s="4"/>
      <c r="J30" s="23"/>
      <c r="K30" s="4"/>
    </row>
    <row r="31" spans="1:14" x14ac:dyDescent="0.2">
      <c r="A31" s="32"/>
      <c r="B31" s="32"/>
      <c r="C31" s="32"/>
      <c r="D31" s="32"/>
      <c r="E31" s="32"/>
      <c r="F31" s="32"/>
      <c r="G31" s="32"/>
      <c r="H31" s="32"/>
      <c r="I31" s="4"/>
      <c r="L31" s="24"/>
      <c r="M31" s="24"/>
      <c r="N31" s="24"/>
    </row>
    <row r="32" spans="1:14" x14ac:dyDescent="0.2">
      <c r="A32" s="32"/>
      <c r="B32" s="32"/>
      <c r="C32" s="32"/>
      <c r="D32" s="32"/>
      <c r="E32" s="32"/>
      <c r="F32" s="32"/>
      <c r="G32" s="32"/>
      <c r="H32" s="32"/>
      <c r="I32" s="4"/>
      <c r="L32" s="24"/>
      <c r="M32" s="24"/>
      <c r="N32" s="24"/>
    </row>
    <row r="33" spans="1:14" x14ac:dyDescent="0.2">
      <c r="A33" s="32"/>
      <c r="B33" s="32"/>
      <c r="C33" s="100" t="s">
        <v>317</v>
      </c>
      <c r="D33" s="100" t="s">
        <v>318</v>
      </c>
      <c r="E33" s="100"/>
      <c r="F33" s="100"/>
      <c r="G33" s="100"/>
      <c r="H33" s="100"/>
      <c r="I33" s="4"/>
      <c r="L33" s="24"/>
      <c r="M33" s="24"/>
      <c r="N33" s="24"/>
    </row>
    <row r="34" spans="1:14" ht="51" x14ac:dyDescent="0.2">
      <c r="A34" s="32"/>
      <c r="B34" s="32"/>
      <c r="C34" s="141" t="s">
        <v>301</v>
      </c>
      <c r="D34" s="138" t="str">
        <f>"Entry ratio = (1) / "&amp;TEXT(D30,"0")</f>
        <v>Entry ratio = (1) / 300</v>
      </c>
      <c r="E34" s="4"/>
      <c r="H34" s="24"/>
      <c r="I34" s="24"/>
      <c r="J34" s="24"/>
    </row>
    <row r="35" spans="1:14" x14ac:dyDescent="0.2">
      <c r="A35" s="32"/>
      <c r="B35" s="32"/>
      <c r="C35" s="146">
        <f t="shared" ref="C35:C43" si="0">C7</f>
        <v>50</v>
      </c>
      <c r="D35" s="78">
        <f>C35/D$30</f>
        <v>0.16666666666666666</v>
      </c>
      <c r="E35" s="4"/>
      <c r="H35" s="24"/>
      <c r="I35" s="24"/>
      <c r="J35" s="24"/>
    </row>
    <row r="36" spans="1:14" x14ac:dyDescent="0.2">
      <c r="A36" s="32"/>
      <c r="B36" s="32"/>
      <c r="C36" s="146">
        <f t="shared" si="0"/>
        <v>100</v>
      </c>
      <c r="D36" s="78">
        <f t="shared" ref="D36:D43" si="1">C36/D$30</f>
        <v>0.33333333333333331</v>
      </c>
      <c r="E36" s="4"/>
      <c r="H36" s="24"/>
      <c r="I36" s="24"/>
      <c r="J36" s="24"/>
    </row>
    <row r="37" spans="1:14" x14ac:dyDescent="0.2">
      <c r="A37" s="32"/>
      <c r="B37" s="32"/>
      <c r="C37" s="146">
        <f t="shared" si="0"/>
        <v>150</v>
      </c>
      <c r="D37" s="78">
        <f>C37/D$30</f>
        <v>0.5</v>
      </c>
      <c r="E37" s="4"/>
      <c r="H37" s="24"/>
      <c r="I37" s="24"/>
      <c r="J37" s="24"/>
    </row>
    <row r="38" spans="1:14" x14ac:dyDescent="0.2">
      <c r="A38" s="4"/>
      <c r="B38" s="4"/>
      <c r="C38" s="146">
        <f t="shared" si="0"/>
        <v>200</v>
      </c>
      <c r="D38" s="78">
        <f t="shared" si="1"/>
        <v>0.66666666666666663</v>
      </c>
      <c r="E38" s="4"/>
      <c r="H38" s="24"/>
      <c r="I38" s="24"/>
      <c r="J38" s="24"/>
    </row>
    <row r="39" spans="1:14" x14ac:dyDescent="0.2">
      <c r="A39" s="4"/>
      <c r="B39" s="4"/>
      <c r="C39" s="146">
        <f t="shared" si="0"/>
        <v>250</v>
      </c>
      <c r="D39" s="78">
        <f t="shared" si="1"/>
        <v>0.83333333333333337</v>
      </c>
      <c r="E39" s="4"/>
      <c r="H39" s="24"/>
      <c r="I39" s="24"/>
      <c r="J39" s="24"/>
    </row>
    <row r="40" spans="1:14" x14ac:dyDescent="0.2">
      <c r="A40" s="4"/>
      <c r="B40" s="4"/>
      <c r="C40" s="146">
        <f t="shared" si="0"/>
        <v>300</v>
      </c>
      <c r="D40" s="78">
        <f t="shared" si="1"/>
        <v>1</v>
      </c>
      <c r="E40" s="4"/>
      <c r="H40" s="24"/>
      <c r="I40" s="24"/>
      <c r="J40" s="24"/>
    </row>
    <row r="41" spans="1:14" x14ac:dyDescent="0.2">
      <c r="A41" s="4"/>
      <c r="B41" s="4"/>
      <c r="C41" s="146">
        <f t="shared" si="0"/>
        <v>400</v>
      </c>
      <c r="D41" s="78">
        <f t="shared" si="1"/>
        <v>1.3333333333333333</v>
      </c>
      <c r="E41" s="4"/>
      <c r="H41" s="24"/>
      <c r="I41" s="24"/>
      <c r="J41" s="24"/>
    </row>
    <row r="42" spans="1:14" x14ac:dyDescent="0.2">
      <c r="A42" s="4"/>
      <c r="B42" s="4"/>
      <c r="C42" s="146">
        <f t="shared" si="0"/>
        <v>500</v>
      </c>
      <c r="D42" s="78">
        <f t="shared" si="1"/>
        <v>1.6666666666666667</v>
      </c>
      <c r="E42" s="4"/>
      <c r="H42" s="4"/>
      <c r="I42" s="23"/>
      <c r="J42" s="4"/>
    </row>
    <row r="43" spans="1:14" x14ac:dyDescent="0.2">
      <c r="A43" s="4"/>
      <c r="B43" s="4"/>
      <c r="C43" s="146">
        <f t="shared" si="0"/>
        <v>600</v>
      </c>
      <c r="D43" s="78">
        <f t="shared" si="1"/>
        <v>2</v>
      </c>
      <c r="E43" s="4"/>
      <c r="H43" s="24"/>
      <c r="I43" s="24"/>
      <c r="J43" s="24"/>
    </row>
    <row r="44" spans="1:14" x14ac:dyDescent="0.2">
      <c r="A44" s="4"/>
      <c r="B44" s="4"/>
      <c r="C44" s="4"/>
      <c r="D44" s="4"/>
      <c r="E44" s="4"/>
      <c r="F44" s="4"/>
      <c r="G44" s="4"/>
      <c r="H44" s="4"/>
      <c r="I44" s="4"/>
      <c r="L44" s="24"/>
      <c r="M44" s="24"/>
      <c r="N44" s="24"/>
    </row>
    <row r="45" spans="1:14" x14ac:dyDescent="0.2">
      <c r="A45" s="4"/>
      <c r="B45" s="4" t="s">
        <v>367</v>
      </c>
      <c r="C45" s="4"/>
      <c r="D45" s="4"/>
      <c r="E45" s="4"/>
      <c r="F45" s="4"/>
      <c r="G45" s="4"/>
      <c r="H45" s="4"/>
      <c r="I45" s="4"/>
      <c r="L45" s="24"/>
      <c r="M45" s="24"/>
      <c r="N45" s="24"/>
    </row>
    <row r="46" spans="1:14" x14ac:dyDescent="0.2">
      <c r="A46" s="4"/>
      <c r="B46" s="4"/>
      <c r="C46" s="4"/>
      <c r="D46" s="4"/>
      <c r="E46" s="4"/>
      <c r="F46" s="4"/>
      <c r="G46" s="42"/>
      <c r="H46" s="4"/>
      <c r="I46" s="4"/>
      <c r="L46" s="24"/>
      <c r="M46" s="24"/>
      <c r="N46" s="24"/>
    </row>
    <row r="47" spans="1:14" x14ac:dyDescent="0.2">
      <c r="A47" s="4"/>
      <c r="B47" s="4"/>
      <c r="C47" s="4"/>
      <c r="D47" s="4"/>
      <c r="E47" s="4"/>
      <c r="F47" s="4"/>
      <c r="G47" s="42"/>
      <c r="H47" s="4"/>
      <c r="I47" s="4"/>
      <c r="L47" s="24"/>
      <c r="M47" s="24"/>
      <c r="N47" s="24"/>
    </row>
    <row r="48" spans="1:14" x14ac:dyDescent="0.2">
      <c r="A48" s="4"/>
      <c r="B48" s="4"/>
      <c r="C48" s="4"/>
      <c r="D48" s="4"/>
      <c r="E48" s="4"/>
      <c r="F48" s="4"/>
      <c r="G48" s="42"/>
      <c r="H48" s="4"/>
      <c r="I48" s="4"/>
      <c r="L48" s="24"/>
      <c r="M48" s="24"/>
      <c r="N48" s="24"/>
    </row>
    <row r="49" spans="1:14" x14ac:dyDescent="0.2">
      <c r="A49" s="4"/>
      <c r="B49" s="4"/>
      <c r="C49" s="4"/>
      <c r="D49" s="4"/>
      <c r="E49" s="4"/>
      <c r="F49" s="4"/>
      <c r="G49" s="42"/>
      <c r="H49" s="4"/>
      <c r="I49" s="4"/>
      <c r="L49" s="24"/>
      <c r="M49" s="24"/>
      <c r="N49" s="24"/>
    </row>
    <row r="50" spans="1:14" x14ac:dyDescent="0.2">
      <c r="A50" s="4"/>
      <c r="B50" s="4"/>
      <c r="C50" s="4"/>
      <c r="D50" s="4"/>
      <c r="E50" s="4"/>
      <c r="F50" s="4"/>
      <c r="G50" s="42"/>
      <c r="H50" s="4"/>
      <c r="I50" s="4"/>
      <c r="L50" s="24"/>
      <c r="M50" s="24"/>
      <c r="N50" s="24"/>
    </row>
    <row r="51" spans="1:14" ht="53" x14ac:dyDescent="0.25">
      <c r="A51" s="4"/>
      <c r="B51" s="4"/>
      <c r="C51" s="141" t="s">
        <v>316</v>
      </c>
      <c r="D51" s="57" t="s">
        <v>300</v>
      </c>
      <c r="E51" s="139" t="s">
        <v>323</v>
      </c>
      <c r="F51" s="144" t="s">
        <v>324</v>
      </c>
      <c r="G51" s="129" t="s">
        <v>369</v>
      </c>
      <c r="H51" s="197" t="s">
        <v>459</v>
      </c>
      <c r="I51" s="11" t="s">
        <v>463</v>
      </c>
      <c r="J51" s="11" t="s">
        <v>462</v>
      </c>
      <c r="K51" s="24"/>
      <c r="L51" s="24"/>
      <c r="M51" s="24"/>
    </row>
    <row r="52" spans="1:14" x14ac:dyDescent="0.2">
      <c r="A52" s="4"/>
      <c r="B52" s="4"/>
      <c r="C52" s="142">
        <v>0</v>
      </c>
      <c r="D52" s="102">
        <f t="shared" ref="D52:D68" si="2">IFERROR(VLOOKUP(C52*300,$C$7:$D$16,2,FALSE),0)</f>
        <v>0</v>
      </c>
      <c r="E52" s="101">
        <f>SUM(D53:D$69)</f>
        <v>44</v>
      </c>
      <c r="F52" s="145">
        <f t="shared" ref="F52:F68" si="3">E52/E$52</f>
        <v>1</v>
      </c>
      <c r="G52" s="140">
        <f t="shared" ref="G52:G58" si="4">G53+(C53-C52)*F52</f>
        <v>1</v>
      </c>
      <c r="H52" s="143">
        <f>G52+C52-1</f>
        <v>0</v>
      </c>
      <c r="I52" s="196">
        <f t="shared" ref="I52:I67" si="5">MAX(C52-1.8,0)</f>
        <v>0</v>
      </c>
      <c r="J52" s="195">
        <f>MAX(0.8-C52,0)</f>
        <v>0.8</v>
      </c>
      <c r="K52" s="24"/>
      <c r="L52" s="24"/>
      <c r="M52" s="24"/>
    </row>
    <row r="53" spans="1:14" x14ac:dyDescent="0.2">
      <c r="A53" s="4"/>
      <c r="B53" s="4"/>
      <c r="C53" s="142">
        <f>D35</f>
        <v>0.16666666666666666</v>
      </c>
      <c r="D53" s="102">
        <f t="shared" si="2"/>
        <v>9</v>
      </c>
      <c r="E53" s="101">
        <f>SUM(D54:D$69)</f>
        <v>35</v>
      </c>
      <c r="F53" s="145">
        <f t="shared" si="3"/>
        <v>0.79545454545454541</v>
      </c>
      <c r="G53" s="140">
        <f t="shared" si="4"/>
        <v>0.83333333333333337</v>
      </c>
      <c r="H53" s="143">
        <f t="shared" ref="H53:H68" si="6">G53+C53-1</f>
        <v>0</v>
      </c>
      <c r="I53" s="196">
        <f t="shared" si="5"/>
        <v>0</v>
      </c>
      <c r="J53" s="195">
        <f t="shared" ref="J53:J68" si="7">MAX(0.8-C53,0)</f>
        <v>0.63333333333333341</v>
      </c>
      <c r="K53" s="24"/>
      <c r="L53" s="24"/>
      <c r="M53" s="24"/>
    </row>
    <row r="54" spans="1:14" x14ac:dyDescent="0.2">
      <c r="A54" s="4"/>
      <c r="B54" s="4"/>
      <c r="C54" s="142">
        <v>0.25</v>
      </c>
      <c r="D54" s="102">
        <f t="shared" si="2"/>
        <v>0</v>
      </c>
      <c r="E54" s="101">
        <f>SUM(D55:D$69)</f>
        <v>35</v>
      </c>
      <c r="F54" s="145">
        <f t="shared" si="3"/>
        <v>0.79545454545454541</v>
      </c>
      <c r="G54" s="140">
        <f t="shared" si="4"/>
        <v>0.76704545454545459</v>
      </c>
      <c r="H54" s="143">
        <f t="shared" si="6"/>
        <v>1.7045454545454586E-2</v>
      </c>
      <c r="I54" s="196">
        <f t="shared" si="5"/>
        <v>0</v>
      </c>
      <c r="J54" s="195">
        <f t="shared" si="7"/>
        <v>0.55000000000000004</v>
      </c>
      <c r="K54" s="24"/>
      <c r="L54" s="24"/>
      <c r="M54" s="24"/>
    </row>
    <row r="55" spans="1:14" x14ac:dyDescent="0.2">
      <c r="A55" s="4"/>
      <c r="B55" s="4"/>
      <c r="C55" s="142">
        <f>D36</f>
        <v>0.33333333333333331</v>
      </c>
      <c r="D55" s="102">
        <f t="shared" si="2"/>
        <v>2</v>
      </c>
      <c r="E55" s="101">
        <f>SUM(D56:D$69)</f>
        <v>33</v>
      </c>
      <c r="F55" s="145">
        <f t="shared" si="3"/>
        <v>0.75</v>
      </c>
      <c r="G55" s="140">
        <f t="shared" si="4"/>
        <v>0.7007575757575758</v>
      </c>
      <c r="H55" s="143">
        <f t="shared" si="6"/>
        <v>3.4090909090909172E-2</v>
      </c>
      <c r="I55" s="196">
        <f t="shared" si="5"/>
        <v>0</v>
      </c>
      <c r="J55" s="195">
        <f t="shared" si="7"/>
        <v>0.46666666666666673</v>
      </c>
      <c r="K55" s="24"/>
      <c r="L55" s="24"/>
      <c r="M55" s="24"/>
    </row>
    <row r="56" spans="1:14" x14ac:dyDescent="0.2">
      <c r="A56" s="4"/>
      <c r="B56" s="4"/>
      <c r="C56" s="142">
        <v>0.5</v>
      </c>
      <c r="D56" s="102">
        <f t="shared" si="2"/>
        <v>4</v>
      </c>
      <c r="E56" s="101">
        <f>SUM(D57:D$69)</f>
        <v>29</v>
      </c>
      <c r="F56" s="145">
        <f>E56/E$52</f>
        <v>0.65909090909090906</v>
      </c>
      <c r="G56" s="140">
        <f t="shared" si="4"/>
        <v>0.5757575757575758</v>
      </c>
      <c r="H56" s="143">
        <f t="shared" si="6"/>
        <v>7.575757575757569E-2</v>
      </c>
      <c r="I56" s="196">
        <f t="shared" si="5"/>
        <v>0</v>
      </c>
      <c r="J56" s="195">
        <f t="shared" si="7"/>
        <v>0.30000000000000004</v>
      </c>
      <c r="K56" s="24"/>
      <c r="L56" s="24"/>
      <c r="M56" s="24"/>
    </row>
    <row r="57" spans="1:14" x14ac:dyDescent="0.2">
      <c r="A57" s="4"/>
      <c r="B57" s="4"/>
      <c r="C57" s="142">
        <f>D38</f>
        <v>0.66666666666666663</v>
      </c>
      <c r="D57" s="102">
        <f t="shared" si="2"/>
        <v>8</v>
      </c>
      <c r="E57" s="101">
        <f>SUM(D58:D$69)</f>
        <v>21</v>
      </c>
      <c r="F57" s="145">
        <f t="shared" si="3"/>
        <v>0.47727272727272729</v>
      </c>
      <c r="G57" s="140">
        <f t="shared" si="4"/>
        <v>0.46590909090909094</v>
      </c>
      <c r="H57" s="143">
        <f t="shared" si="6"/>
        <v>0.13257575757575757</v>
      </c>
      <c r="I57" s="196">
        <f t="shared" si="5"/>
        <v>0</v>
      </c>
      <c r="J57" s="195">
        <f t="shared" si="7"/>
        <v>0.13333333333333341</v>
      </c>
      <c r="K57" s="24"/>
      <c r="L57" s="24"/>
      <c r="M57" s="24"/>
    </row>
    <row r="58" spans="1:14" x14ac:dyDescent="0.2">
      <c r="A58" s="4"/>
      <c r="B58" s="4"/>
      <c r="C58" s="142">
        <v>0.75</v>
      </c>
      <c r="D58" s="102">
        <f t="shared" si="2"/>
        <v>0</v>
      </c>
      <c r="E58" s="101">
        <f>SUM(D59:D$69)</f>
        <v>21</v>
      </c>
      <c r="F58" s="145">
        <f t="shared" si="3"/>
        <v>0.47727272727272729</v>
      </c>
      <c r="G58" s="140">
        <f t="shared" si="4"/>
        <v>0.42613636363636365</v>
      </c>
      <c r="H58" s="143">
        <f t="shared" si="6"/>
        <v>0.17613636363636376</v>
      </c>
      <c r="I58" s="196">
        <f t="shared" si="5"/>
        <v>0</v>
      </c>
      <c r="J58" s="195">
        <f t="shared" si="7"/>
        <v>5.0000000000000044E-2</v>
      </c>
      <c r="K58" s="24"/>
      <c r="L58" s="24"/>
      <c r="M58" s="24"/>
    </row>
    <row r="59" spans="1:14" x14ac:dyDescent="0.2">
      <c r="A59" s="4"/>
      <c r="B59" s="4"/>
      <c r="C59" s="142">
        <f>D39</f>
        <v>0.83333333333333337</v>
      </c>
      <c r="D59" s="102">
        <f t="shared" si="2"/>
        <v>6</v>
      </c>
      <c r="E59" s="101">
        <f>SUM(D60:D$69)</f>
        <v>15</v>
      </c>
      <c r="F59" s="145">
        <f t="shared" si="3"/>
        <v>0.34090909090909088</v>
      </c>
      <c r="G59" s="140">
        <f>G60+(C60-C59)*F59</f>
        <v>0.38636363636363635</v>
      </c>
      <c r="H59" s="143">
        <f t="shared" si="6"/>
        <v>0.21969696969696972</v>
      </c>
      <c r="I59" s="196">
        <f t="shared" si="5"/>
        <v>0</v>
      </c>
      <c r="J59" s="196">
        <f t="shared" si="7"/>
        <v>0</v>
      </c>
      <c r="K59" s="24"/>
      <c r="L59" s="24"/>
      <c r="M59" s="24"/>
    </row>
    <row r="60" spans="1:14" x14ac:dyDescent="0.2">
      <c r="A60" s="4"/>
      <c r="B60" s="4"/>
      <c r="C60" s="142">
        <v>1</v>
      </c>
      <c r="D60" s="102">
        <f t="shared" si="2"/>
        <v>2</v>
      </c>
      <c r="E60" s="101">
        <f>SUM(D61:D$69)</f>
        <v>13</v>
      </c>
      <c r="F60" s="145">
        <f t="shared" si="3"/>
        <v>0.29545454545454547</v>
      </c>
      <c r="G60" s="140">
        <f t="shared" ref="G60:G66" si="8">G61+(C61-C60)*F60</f>
        <v>0.32954545454545453</v>
      </c>
      <c r="H60" s="143">
        <f t="shared" si="6"/>
        <v>0.32954545454545459</v>
      </c>
      <c r="I60" s="196">
        <f t="shared" si="5"/>
        <v>0</v>
      </c>
      <c r="J60" s="196">
        <f t="shared" si="7"/>
        <v>0</v>
      </c>
      <c r="K60" s="24"/>
      <c r="L60" s="24"/>
      <c r="M60" s="24"/>
    </row>
    <row r="61" spans="1:14" x14ac:dyDescent="0.2">
      <c r="A61" s="4"/>
      <c r="B61" s="4"/>
      <c r="C61" s="142">
        <v>1.25</v>
      </c>
      <c r="D61" s="102">
        <f t="shared" si="2"/>
        <v>0</v>
      </c>
      <c r="E61" s="101">
        <f>SUM(D62:D$69)</f>
        <v>13</v>
      </c>
      <c r="F61" s="145">
        <f t="shared" si="3"/>
        <v>0.29545454545454547</v>
      </c>
      <c r="G61" s="140">
        <f t="shared" si="8"/>
        <v>0.25568181818181818</v>
      </c>
      <c r="H61" s="143">
        <f t="shared" si="6"/>
        <v>0.50568181818181812</v>
      </c>
      <c r="I61" s="196">
        <f t="shared" si="5"/>
        <v>0</v>
      </c>
      <c r="J61" s="196">
        <f t="shared" si="7"/>
        <v>0</v>
      </c>
      <c r="L61" s="24"/>
      <c r="M61" s="24"/>
      <c r="N61" s="24"/>
    </row>
    <row r="62" spans="1:14" x14ac:dyDescent="0.2">
      <c r="A62" s="4"/>
      <c r="B62" s="4"/>
      <c r="C62" s="143">
        <f>D41</f>
        <v>1.3333333333333333</v>
      </c>
      <c r="D62" s="102">
        <f t="shared" si="2"/>
        <v>1</v>
      </c>
      <c r="E62" s="101">
        <f>SUM(D63:D$69)</f>
        <v>12</v>
      </c>
      <c r="F62" s="145">
        <f t="shared" si="3"/>
        <v>0.27272727272727271</v>
      </c>
      <c r="G62" s="140">
        <f t="shared" si="8"/>
        <v>0.23106060606060608</v>
      </c>
      <c r="H62" s="143">
        <f t="shared" si="6"/>
        <v>0.56439393939393945</v>
      </c>
      <c r="I62" s="196">
        <f t="shared" si="5"/>
        <v>0</v>
      </c>
      <c r="J62" s="196">
        <f t="shared" si="7"/>
        <v>0</v>
      </c>
      <c r="L62" s="24"/>
      <c r="M62" s="24"/>
      <c r="N62" s="24"/>
    </row>
    <row r="63" spans="1:14" x14ac:dyDescent="0.2">
      <c r="A63" s="4"/>
      <c r="B63" s="4"/>
      <c r="C63" s="142">
        <v>1.5</v>
      </c>
      <c r="D63" s="102">
        <f t="shared" si="2"/>
        <v>0</v>
      </c>
      <c r="E63" s="101">
        <f>SUM(D64:D$69)</f>
        <v>12</v>
      </c>
      <c r="F63" s="145">
        <f t="shared" si="3"/>
        <v>0.27272727272727271</v>
      </c>
      <c r="G63" s="140">
        <f t="shared" si="8"/>
        <v>0.18560606060606061</v>
      </c>
      <c r="H63" s="143">
        <f t="shared" si="6"/>
        <v>0.68560606060606055</v>
      </c>
      <c r="I63" s="196">
        <f t="shared" si="5"/>
        <v>0</v>
      </c>
      <c r="J63" s="196">
        <f t="shared" si="7"/>
        <v>0</v>
      </c>
      <c r="L63" s="24"/>
      <c r="M63" s="24"/>
      <c r="N63" s="24"/>
    </row>
    <row r="64" spans="1:14" x14ac:dyDescent="0.2">
      <c r="A64" s="4"/>
      <c r="B64" s="4"/>
      <c r="C64" s="143">
        <f>D42</f>
        <v>1.6666666666666667</v>
      </c>
      <c r="D64" s="102">
        <f t="shared" si="2"/>
        <v>4</v>
      </c>
      <c r="E64" s="101">
        <f>SUM(D65:D$69)</f>
        <v>8</v>
      </c>
      <c r="F64" s="145">
        <f t="shared" si="3"/>
        <v>0.18181818181818182</v>
      </c>
      <c r="G64" s="140">
        <f t="shared" si="8"/>
        <v>0.14015151515151514</v>
      </c>
      <c r="H64" s="143">
        <f t="shared" si="6"/>
        <v>0.80681818181818188</v>
      </c>
      <c r="I64" s="196">
        <f t="shared" si="5"/>
        <v>0</v>
      </c>
      <c r="J64" s="196">
        <f t="shared" si="7"/>
        <v>0</v>
      </c>
      <c r="L64" s="24"/>
      <c r="M64" s="24"/>
      <c r="N64" s="24"/>
    </row>
    <row r="65" spans="1:14" x14ac:dyDescent="0.2">
      <c r="A65" s="4"/>
      <c r="B65" s="4"/>
      <c r="C65" s="142">
        <v>1.75</v>
      </c>
      <c r="D65" s="102">
        <f t="shared" si="2"/>
        <v>0</v>
      </c>
      <c r="E65" s="101">
        <f>SUM(D66:D$69)</f>
        <v>8</v>
      </c>
      <c r="F65" s="145">
        <f t="shared" si="3"/>
        <v>0.18181818181818182</v>
      </c>
      <c r="G65" s="140">
        <f t="shared" si="8"/>
        <v>0.125</v>
      </c>
      <c r="H65" s="143">
        <f t="shared" si="6"/>
        <v>0.875</v>
      </c>
      <c r="I65" s="196">
        <f t="shared" si="5"/>
        <v>0</v>
      </c>
      <c r="J65" s="196">
        <f t="shared" si="7"/>
        <v>0</v>
      </c>
      <c r="L65" s="24"/>
      <c r="M65" s="24"/>
      <c r="N65" s="24"/>
    </row>
    <row r="66" spans="1:14" x14ac:dyDescent="0.2">
      <c r="A66" s="4"/>
      <c r="B66" s="4"/>
      <c r="C66" s="143">
        <v>2</v>
      </c>
      <c r="D66" s="102">
        <f t="shared" si="2"/>
        <v>1</v>
      </c>
      <c r="E66" s="101">
        <f>SUM(D67:D$69)</f>
        <v>7</v>
      </c>
      <c r="F66" s="145">
        <f t="shared" si="3"/>
        <v>0.15909090909090909</v>
      </c>
      <c r="G66" s="140">
        <f t="shared" si="8"/>
        <v>7.9545454545454544E-2</v>
      </c>
      <c r="H66" s="143">
        <f t="shared" si="6"/>
        <v>1.0795454545454546</v>
      </c>
      <c r="I66" s="195">
        <f t="shared" si="5"/>
        <v>0.19999999999999996</v>
      </c>
      <c r="J66" s="196">
        <f t="shared" si="7"/>
        <v>0</v>
      </c>
      <c r="L66" s="24"/>
      <c r="M66" s="24"/>
      <c r="N66" s="24"/>
    </row>
    <row r="67" spans="1:14" x14ac:dyDescent="0.2">
      <c r="A67" s="4"/>
      <c r="B67" s="4"/>
      <c r="C67" s="142">
        <v>2.25</v>
      </c>
      <c r="D67" s="101">
        <f t="shared" si="2"/>
        <v>0</v>
      </c>
      <c r="E67" s="101">
        <f>SUM(D68:D$69)</f>
        <v>7</v>
      </c>
      <c r="F67" s="145">
        <f t="shared" si="3"/>
        <v>0.15909090909090909</v>
      </c>
      <c r="G67" s="140">
        <f>G68+(C68-C67)*F67</f>
        <v>3.9772727272727272E-2</v>
      </c>
      <c r="H67" s="143">
        <f>G67+C67-1</f>
        <v>1.2897727272727271</v>
      </c>
      <c r="I67" s="195">
        <f t="shared" si="5"/>
        <v>0.44999999999999996</v>
      </c>
      <c r="J67" s="196">
        <f t="shared" si="7"/>
        <v>0</v>
      </c>
      <c r="L67" s="24"/>
      <c r="M67" s="24"/>
      <c r="N67" s="24"/>
    </row>
    <row r="68" spans="1:14" x14ac:dyDescent="0.2">
      <c r="A68" s="4"/>
      <c r="B68" s="4"/>
      <c r="C68" s="142">
        <v>2.5</v>
      </c>
      <c r="D68" s="101">
        <f t="shared" si="2"/>
        <v>7</v>
      </c>
      <c r="E68" s="101">
        <f>SUM(D69:D$69)</f>
        <v>0</v>
      </c>
      <c r="F68" s="145">
        <f t="shared" si="3"/>
        <v>0</v>
      </c>
      <c r="G68" s="63">
        <v>0</v>
      </c>
      <c r="H68" s="143">
        <f t="shared" si="6"/>
        <v>1.5</v>
      </c>
      <c r="I68" s="195">
        <f>MAX(C68-1.8,0)</f>
        <v>0.7</v>
      </c>
      <c r="J68" s="196">
        <f t="shared" si="7"/>
        <v>0</v>
      </c>
      <c r="L68" s="24"/>
      <c r="M68" s="24"/>
      <c r="N68" s="24"/>
    </row>
    <row r="69" spans="1:14" x14ac:dyDescent="0.2">
      <c r="A69" s="4"/>
      <c r="B69" s="4"/>
      <c r="C69" s="4"/>
      <c r="D69" s="4"/>
      <c r="E69" s="4"/>
      <c r="F69" s="4"/>
      <c r="G69" s="4"/>
      <c r="H69" s="4"/>
      <c r="I69" s="13"/>
      <c r="L69" s="24"/>
      <c r="M69" s="24"/>
      <c r="N69" s="24"/>
    </row>
    <row r="70" spans="1:14" x14ac:dyDescent="0.2">
      <c r="A70" s="4"/>
      <c r="B70" s="4" t="s">
        <v>1</v>
      </c>
      <c r="C70" s="4"/>
      <c r="D70" s="4"/>
      <c r="E70" s="4"/>
      <c r="F70" s="4"/>
      <c r="G70" s="4"/>
      <c r="H70" s="4"/>
      <c r="I70" s="4"/>
      <c r="L70" s="24"/>
      <c r="M70" s="24"/>
      <c r="N70" s="24"/>
    </row>
    <row r="71" spans="1:14" x14ac:dyDescent="0.2">
      <c r="A71" s="4"/>
      <c r="B71" s="4" t="s">
        <v>368</v>
      </c>
      <c r="C71" s="4"/>
      <c r="D71" s="4"/>
      <c r="E71" s="4"/>
      <c r="F71" s="4"/>
      <c r="G71" s="4"/>
      <c r="H71" s="4"/>
      <c r="I71" s="4"/>
      <c r="L71" s="24"/>
      <c r="M71" s="24"/>
      <c r="N71" s="24"/>
    </row>
    <row r="72" spans="1:14" x14ac:dyDescent="0.2">
      <c r="A72" s="4"/>
      <c r="B72" s="4"/>
      <c r="C72" s="4"/>
      <c r="D72" s="4"/>
      <c r="E72" s="4"/>
      <c r="F72" s="4"/>
      <c r="G72" s="4"/>
      <c r="H72" s="4"/>
      <c r="I72" s="4"/>
      <c r="L72" s="24"/>
      <c r="M72" s="24"/>
      <c r="N72" s="24"/>
    </row>
    <row r="73" spans="1:14" x14ac:dyDescent="0.2">
      <c r="A73" s="4"/>
      <c r="B73" s="4"/>
      <c r="C73" s="4"/>
      <c r="D73" s="4"/>
      <c r="E73" s="4"/>
      <c r="F73" s="4"/>
      <c r="G73" s="4"/>
      <c r="H73" s="4"/>
      <c r="I73" s="4"/>
      <c r="L73" s="24"/>
      <c r="M73" s="24"/>
      <c r="N73" s="24"/>
    </row>
    <row r="74" spans="1:14" x14ac:dyDescent="0.2">
      <c r="A74" s="4"/>
      <c r="B74" s="4"/>
      <c r="C74" s="4"/>
      <c r="D74" s="4"/>
      <c r="E74" s="4"/>
      <c r="F74" s="4"/>
      <c r="G74" s="4"/>
      <c r="H74" s="4"/>
      <c r="I74" s="4"/>
      <c r="L74" s="24"/>
      <c r="M74" s="24"/>
      <c r="N74" s="24"/>
    </row>
    <row r="75" spans="1:14" x14ac:dyDescent="0.2">
      <c r="A75" s="4"/>
      <c r="B75" s="4"/>
      <c r="C75" s="4"/>
      <c r="D75" s="4"/>
      <c r="E75" s="4"/>
      <c r="F75" s="4"/>
      <c r="G75" s="4"/>
      <c r="H75" s="4"/>
      <c r="I75" s="4"/>
      <c r="L75" s="24"/>
      <c r="M75" s="24"/>
      <c r="N75" s="24"/>
    </row>
    <row r="76" spans="1:14" ht="17" thickBot="1" x14ac:dyDescent="0.25">
      <c r="A76" s="4"/>
      <c r="B76" s="32" t="s">
        <v>375</v>
      </c>
      <c r="D76" s="4"/>
      <c r="E76" s="4"/>
      <c r="F76" s="4"/>
      <c r="G76" s="4"/>
      <c r="H76" s="4"/>
      <c r="I76" s="4"/>
      <c r="L76" s="24"/>
      <c r="M76" s="24"/>
      <c r="N76" s="24"/>
    </row>
    <row r="77" spans="1:14" ht="17" thickBot="1" x14ac:dyDescent="0.25">
      <c r="A77" s="4"/>
      <c r="B77" s="110" t="s">
        <v>376</v>
      </c>
      <c r="C77" s="67">
        <f>SUMPRODUCT(I52:I68,D52:D68)/$E$52</f>
        <v>0.11590909090909091</v>
      </c>
      <c r="D77" s="4"/>
      <c r="E77" s="4"/>
      <c r="F77" s="4"/>
      <c r="G77" s="4"/>
      <c r="H77" s="4"/>
      <c r="I77" s="4"/>
      <c r="L77" s="24"/>
      <c r="M77" s="24"/>
      <c r="N77" s="24"/>
    </row>
    <row r="78" spans="1:14" x14ac:dyDescent="0.2">
      <c r="A78" s="4"/>
      <c r="B78" s="4"/>
      <c r="C78" s="4"/>
      <c r="D78" s="4"/>
      <c r="E78" s="4"/>
      <c r="F78" s="4"/>
      <c r="G78" s="4"/>
      <c r="H78" s="4"/>
      <c r="I78" s="4"/>
      <c r="L78" s="24"/>
      <c r="M78" s="24"/>
      <c r="N78" s="24"/>
    </row>
    <row r="79" spans="1:14" ht="17" thickBot="1" x14ac:dyDescent="0.25">
      <c r="A79" s="4"/>
      <c r="B79" s="4" t="s">
        <v>370</v>
      </c>
      <c r="C79" s="4"/>
      <c r="D79" s="4"/>
      <c r="E79" s="4"/>
      <c r="F79" s="4"/>
      <c r="G79" s="4"/>
      <c r="H79" s="4"/>
      <c r="I79" s="4"/>
      <c r="L79" s="24"/>
      <c r="M79" s="24"/>
      <c r="N79" s="24"/>
    </row>
    <row r="80" spans="1:14" ht="17" thickBot="1" x14ac:dyDescent="0.25">
      <c r="A80" s="4"/>
      <c r="B80" s="46" t="s">
        <v>371</v>
      </c>
      <c r="C80" s="67">
        <f>SUMPRODUCT(J52:J68,D52:D68)/$E$52</f>
        <v>0.20227272727272733</v>
      </c>
      <c r="D80" s="4"/>
      <c r="E80" s="4"/>
      <c r="F80" s="4"/>
      <c r="G80" s="4"/>
      <c r="H80" s="4"/>
      <c r="I80" s="4"/>
      <c r="L80" s="24"/>
      <c r="M80" s="24"/>
      <c r="N80" s="24"/>
    </row>
    <row r="81" spans="1:14" x14ac:dyDescent="0.2">
      <c r="A81" s="4"/>
      <c r="B81" s="4"/>
      <c r="C81" s="4"/>
      <c r="D81" s="4"/>
      <c r="E81" s="4"/>
      <c r="F81" s="4"/>
      <c r="G81" s="4"/>
      <c r="H81" s="4"/>
      <c r="I81" s="4"/>
      <c r="L81" s="24"/>
      <c r="M81" s="24"/>
      <c r="N81" s="24"/>
    </row>
    <row r="82" spans="1:14" ht="19" x14ac:dyDescent="0.25">
      <c r="A82" s="21" t="s">
        <v>5</v>
      </c>
      <c r="B82" s="4"/>
      <c r="C82" s="4"/>
      <c r="D82" s="4"/>
      <c r="E82" s="4"/>
      <c r="F82" s="4"/>
      <c r="G82" s="4"/>
      <c r="H82" s="4"/>
      <c r="I82" s="4"/>
      <c r="L82" s="24"/>
      <c r="M82" s="24"/>
      <c r="N82" s="24"/>
    </row>
    <row r="83" spans="1:14" x14ac:dyDescent="0.2">
      <c r="A83" s="4" t="s">
        <v>372</v>
      </c>
      <c r="B83" s="4"/>
      <c r="C83" s="4"/>
      <c r="D83" s="4"/>
      <c r="E83" s="4"/>
      <c r="F83" s="4"/>
      <c r="G83" s="4"/>
      <c r="H83" s="4"/>
      <c r="I83" s="4"/>
      <c r="L83" s="24"/>
      <c r="M83" s="24"/>
      <c r="N83" s="24"/>
    </row>
    <row r="84" spans="1:14" x14ac:dyDescent="0.2">
      <c r="A84" s="4"/>
      <c r="B84" s="4"/>
      <c r="C84" s="4"/>
      <c r="D84" s="4"/>
      <c r="E84" s="4"/>
      <c r="F84" s="4"/>
      <c r="G84" s="4"/>
      <c r="H84" s="4"/>
      <c r="I84" s="4"/>
      <c r="L84" s="24"/>
      <c r="M84" s="24"/>
      <c r="N84" s="24"/>
    </row>
    <row r="85" spans="1:14" x14ac:dyDescent="0.2">
      <c r="A85" s="4" t="s">
        <v>373</v>
      </c>
      <c r="B85" s="4"/>
      <c r="C85" s="4"/>
      <c r="D85" s="4"/>
      <c r="E85" s="4"/>
      <c r="F85" s="4"/>
      <c r="G85" s="4"/>
      <c r="H85" s="4"/>
      <c r="I85" s="4"/>
      <c r="L85" s="24"/>
      <c r="M85" s="24"/>
      <c r="N85" s="24"/>
    </row>
    <row r="86" spans="1:14" x14ac:dyDescent="0.2">
      <c r="A86" s="4"/>
      <c r="D86" s="4"/>
      <c r="E86" s="98"/>
      <c r="F86" s="42"/>
      <c r="G86" s="4"/>
      <c r="H86" s="4"/>
      <c r="I86" s="4"/>
      <c r="L86" s="4"/>
      <c r="M86" s="23"/>
      <c r="N86" s="4"/>
    </row>
    <row r="87" spans="1:14" x14ac:dyDescent="0.2">
      <c r="A87" s="4"/>
      <c r="B87" s="41" t="s">
        <v>465</v>
      </c>
      <c r="C87" s="4"/>
      <c r="D87" s="4"/>
      <c r="E87" s="41" t="s">
        <v>464</v>
      </c>
      <c r="F87" s="42"/>
      <c r="G87" s="4"/>
      <c r="H87" s="4"/>
      <c r="I87" s="4"/>
      <c r="L87" s="4"/>
      <c r="M87" s="23"/>
      <c r="N87" s="4"/>
    </row>
    <row r="88" spans="1:14" x14ac:dyDescent="0.2">
      <c r="A88" s="4"/>
      <c r="D88" s="4"/>
      <c r="E88" s="135"/>
      <c r="F88" s="42"/>
      <c r="G88" s="4"/>
      <c r="H88" s="4"/>
      <c r="I88" s="4"/>
      <c r="L88" s="4"/>
      <c r="M88" s="23"/>
      <c r="N88" s="4"/>
    </row>
    <row r="89" spans="1:14" x14ac:dyDescent="0.2">
      <c r="A89" s="4"/>
      <c r="B89" s="198" t="s">
        <v>376</v>
      </c>
      <c r="C89" s="199">
        <f>(C66-1.8)/(C66-C65)*G65+(1.8-C65)/(C66-C65)*G66</f>
        <v>0.11590909090909091</v>
      </c>
      <c r="D89" s="62"/>
      <c r="E89" s="198" t="s">
        <v>376</v>
      </c>
      <c r="F89" s="199">
        <f>FORECAST(1.8,G65:G66,C65:C66)</f>
        <v>0.11590909090909096</v>
      </c>
      <c r="G89" s="4"/>
      <c r="H89" s="4"/>
      <c r="I89" s="4"/>
      <c r="L89" s="24"/>
      <c r="M89" s="24"/>
      <c r="N89" s="24"/>
    </row>
    <row r="90" spans="1:14" x14ac:dyDescent="0.2">
      <c r="A90" s="4"/>
      <c r="B90" s="59"/>
      <c r="C90" s="59"/>
      <c r="D90" s="62"/>
      <c r="E90" s="59"/>
      <c r="F90" s="59"/>
      <c r="G90" s="4"/>
      <c r="H90" s="4"/>
      <c r="I90" s="4"/>
      <c r="L90" s="24"/>
      <c r="M90" s="24"/>
      <c r="N90" s="24"/>
    </row>
    <row r="91" spans="1:14" x14ac:dyDescent="0.2">
      <c r="A91" s="4"/>
      <c r="B91" s="47" t="s">
        <v>371</v>
      </c>
      <c r="C91" s="199">
        <f>(0.8-C58)/(C59-C58)*H59+(C59-0.8)/(C59-C58)*H58</f>
        <v>0.20227272727272735</v>
      </c>
      <c r="D91" s="62"/>
      <c r="E91" s="47" t="s">
        <v>371</v>
      </c>
      <c r="F91" s="199">
        <f>FORECAST(0.8,H58:H59,C58:C59)</f>
        <v>0.20227272727272727</v>
      </c>
      <c r="G91" s="4"/>
      <c r="H91" s="4"/>
      <c r="I91" s="4"/>
      <c r="L91" s="24"/>
      <c r="M91" s="24"/>
      <c r="N91" s="24"/>
    </row>
    <row r="92" spans="1:14" x14ac:dyDescent="0.2">
      <c r="A92" s="4"/>
      <c r="B92" s="4"/>
      <c r="C92" s="4"/>
      <c r="D92" s="4"/>
      <c r="E92" s="4"/>
      <c r="F92" s="4"/>
      <c r="G92" s="4"/>
      <c r="H92" s="4"/>
      <c r="I92" s="4"/>
      <c r="L92" s="24"/>
      <c r="M92" s="24"/>
      <c r="N92" s="24"/>
    </row>
    <row r="93" spans="1:14" x14ac:dyDescent="0.2">
      <c r="A93" s="4" t="s">
        <v>377</v>
      </c>
      <c r="B93" s="4"/>
      <c r="C93" s="4"/>
      <c r="D93" s="4"/>
      <c r="E93" s="4"/>
      <c r="F93" s="4"/>
      <c r="G93" s="4"/>
      <c r="H93" s="4"/>
      <c r="I93" s="4"/>
      <c r="L93" s="24"/>
      <c r="M93" s="24"/>
      <c r="N93" s="24"/>
    </row>
    <row r="94" spans="1:14" x14ac:dyDescent="0.2">
      <c r="A94" s="4"/>
      <c r="B94" s="4"/>
      <c r="C94" s="4"/>
      <c r="D94" s="4"/>
      <c r="E94" s="4"/>
      <c r="F94" s="4"/>
      <c r="G94" s="4"/>
      <c r="H94" s="4"/>
      <c r="I94" s="4"/>
      <c r="L94" s="24"/>
      <c r="M94" s="24"/>
      <c r="N94" s="24"/>
    </row>
    <row r="95" spans="1:14" ht="19" x14ac:dyDescent="0.25">
      <c r="A95" s="21" t="s">
        <v>6</v>
      </c>
      <c r="B95" s="4"/>
      <c r="C95" s="4"/>
      <c r="D95" s="4"/>
      <c r="E95" s="4"/>
      <c r="F95" s="4"/>
      <c r="G95" s="4"/>
      <c r="H95" s="4"/>
      <c r="I95" s="4"/>
      <c r="L95" s="24"/>
      <c r="M95" s="24"/>
      <c r="N95" s="24"/>
    </row>
    <row r="96" spans="1:14" x14ac:dyDescent="0.2">
      <c r="A96" s="4" t="s">
        <v>332</v>
      </c>
      <c r="B96" s="4"/>
      <c r="C96" s="4"/>
      <c r="D96" s="4"/>
      <c r="E96" s="4"/>
      <c r="F96" s="4"/>
      <c r="G96" s="4"/>
      <c r="H96" s="4"/>
      <c r="I96" s="4"/>
      <c r="L96" s="24"/>
      <c r="M96" s="24"/>
      <c r="N96" s="24"/>
    </row>
    <row r="97" spans="1:62" x14ac:dyDescent="0.2">
      <c r="A97" s="4"/>
      <c r="B97" s="4"/>
      <c r="C97" s="4"/>
      <c r="D97" s="4"/>
      <c r="E97" s="4"/>
      <c r="F97" s="4"/>
      <c r="G97" s="4"/>
      <c r="H97" s="4"/>
      <c r="I97" s="4"/>
      <c r="L97" s="24"/>
      <c r="M97" s="24"/>
      <c r="N97" s="24"/>
    </row>
    <row r="98" spans="1:62" x14ac:dyDescent="0.2">
      <c r="A98" s="4"/>
      <c r="B98" s="4"/>
      <c r="C98" s="4"/>
      <c r="D98" s="4"/>
      <c r="E98" s="4"/>
      <c r="F98" s="4"/>
      <c r="G98" s="4"/>
      <c r="H98" s="4"/>
      <c r="I98" s="4"/>
      <c r="L98" s="24"/>
      <c r="M98" s="24"/>
      <c r="N98" s="24"/>
    </row>
    <row r="99" spans="1:62" x14ac:dyDescent="0.2">
      <c r="A99" s="4"/>
      <c r="B99" s="4"/>
      <c r="C99" s="4"/>
      <c r="D99" s="4"/>
      <c r="E99" s="4"/>
      <c r="F99" s="4"/>
      <c r="G99" s="4"/>
      <c r="H99" s="4"/>
      <c r="I99" s="4"/>
      <c r="L99" s="4"/>
      <c r="M99" s="23"/>
      <c r="N99" s="4"/>
    </row>
    <row r="100" spans="1:62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</row>
    <row r="101" spans="1:62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</row>
    <row r="102" spans="1:62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</row>
    <row r="103" spans="1:62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</row>
    <row r="104" spans="1:62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</row>
    <row r="105" spans="1:62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</row>
    <row r="106" spans="1:62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</row>
    <row r="107" spans="1:62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</row>
    <row r="108" spans="1:62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</row>
    <row r="109" spans="1:62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</row>
    <row r="110" spans="1:62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</row>
    <row r="111" spans="1:62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</row>
    <row r="112" spans="1:62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</row>
    <row r="113" spans="1:62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</row>
    <row r="114" spans="1:62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</row>
    <row r="115" spans="1:62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</row>
    <row r="116" spans="1:62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</row>
    <row r="117" spans="1:62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</row>
    <row r="118" spans="1:62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</row>
    <row r="119" spans="1:62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</row>
    <row r="120" spans="1:62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</row>
    <row r="121" spans="1:62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</row>
    <row r="122" spans="1:62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</row>
    <row r="123" spans="1:62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</row>
    <row r="124" spans="1:62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</row>
    <row r="125" spans="1:62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</row>
    <row r="126" spans="1:62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</row>
    <row r="127" spans="1:62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</row>
    <row r="128" spans="1:62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</row>
    <row r="129" spans="1:62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</row>
    <row r="130" spans="1:62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</row>
    <row r="131" spans="1:62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</row>
    <row r="132" spans="1:62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</row>
    <row r="133" spans="1:62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</row>
    <row r="134" spans="1:62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</row>
    <row r="135" spans="1:62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</row>
    <row r="136" spans="1:62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</row>
    <row r="137" spans="1:62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</row>
    <row r="138" spans="1:62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</row>
    <row r="139" spans="1:62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</row>
    <row r="140" spans="1:62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</row>
    <row r="141" spans="1:62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</row>
    <row r="142" spans="1:62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</row>
    <row r="143" spans="1:62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</row>
    <row r="144" spans="1:62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</row>
    <row r="145" spans="1:62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</row>
    <row r="146" spans="1:62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</row>
    <row r="147" spans="1:62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</row>
    <row r="148" spans="1:62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</row>
    <row r="149" spans="1:62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</row>
    <row r="150" spans="1:62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</row>
    <row r="151" spans="1:62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</row>
    <row r="152" spans="1:62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</row>
    <row r="153" spans="1:62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</row>
    <row r="154" spans="1:62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</row>
    <row r="155" spans="1:62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</row>
    <row r="156" spans="1:62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</row>
    <row r="157" spans="1:62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</row>
    <row r="158" spans="1:62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</row>
    <row r="159" spans="1:62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</row>
    <row r="160" spans="1:62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</row>
    <row r="161" spans="1:62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</row>
    <row r="162" spans="1:62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</row>
    <row r="163" spans="1:62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</row>
    <row r="164" spans="1:62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</row>
    <row r="165" spans="1:62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</row>
    <row r="166" spans="1:62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</row>
    <row r="167" spans="1:62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</row>
    <row r="168" spans="1:62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</row>
    <row r="169" spans="1:62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</row>
    <row r="170" spans="1:62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</row>
    <row r="171" spans="1:62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</row>
    <row r="172" spans="1:62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</row>
    <row r="173" spans="1:62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</row>
    <row r="174" spans="1:62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</row>
    <row r="175" spans="1:62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</row>
    <row r="176" spans="1:62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</row>
    <row r="177" spans="1:62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</row>
    <row r="178" spans="1:62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</row>
    <row r="179" spans="1:62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</row>
    <row r="180" spans="1:62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</row>
    <row r="181" spans="1:62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</row>
    <row r="182" spans="1:62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</row>
    <row r="183" spans="1:62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</row>
    <row r="184" spans="1:62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</row>
    <row r="185" spans="1:62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</row>
    <row r="186" spans="1:62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</row>
    <row r="187" spans="1:62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</row>
    <row r="188" spans="1:62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</row>
    <row r="189" spans="1:62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</row>
    <row r="190" spans="1:62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</row>
    <row r="191" spans="1:62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</row>
    <row r="192" spans="1:62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</row>
    <row r="193" spans="1:62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</row>
    <row r="194" spans="1:62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</row>
    <row r="195" spans="1:62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</row>
    <row r="196" spans="1:62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</row>
    <row r="197" spans="1:62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</row>
    <row r="198" spans="1:62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</row>
    <row r="199" spans="1:62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</row>
    <row r="200" spans="1:62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</row>
    <row r="201" spans="1:62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</row>
  </sheetData>
  <sortState xmlns:xlrd2="http://schemas.microsoft.com/office/spreadsheetml/2017/richdata2" ref="L8:M17">
    <sortCondition ref="L8:L17"/>
  </sortState>
  <pageMargins left="0.7" right="0.7" top="0.75" bottom="0.75" header="0.3" footer="0.3"/>
  <pageSetup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360B4-432D-1C41-8438-E4860059861A}">
  <dimension ref="A1:BM196"/>
  <sheetViews>
    <sheetView showGridLines="0" zoomScale="120" zoomScaleNormal="120" workbookViewId="0"/>
  </sheetViews>
  <sheetFormatPr baseColWidth="10" defaultRowHeight="16" x14ac:dyDescent="0.2"/>
  <cols>
    <col min="1" max="3" width="10.83203125" style="18"/>
    <col min="4" max="4" width="13.83203125" style="18" bestFit="1" customWidth="1"/>
    <col min="5" max="16384" width="10.83203125" style="18"/>
  </cols>
  <sheetData>
    <row r="1" spans="1:11" ht="19" x14ac:dyDescent="0.25">
      <c r="A1" s="16" t="s">
        <v>378</v>
      </c>
      <c r="B1" s="17"/>
      <c r="C1" s="17"/>
      <c r="D1" s="17"/>
      <c r="E1" s="17"/>
      <c r="F1" s="17"/>
      <c r="G1" s="17"/>
      <c r="H1" s="17"/>
      <c r="I1" s="17"/>
      <c r="J1" s="1"/>
    </row>
    <row r="2" spans="1:11" x14ac:dyDescent="0.2">
      <c r="A2" s="19"/>
      <c r="B2" s="17"/>
      <c r="C2" s="17"/>
      <c r="D2" s="17"/>
      <c r="E2" s="17"/>
      <c r="F2" s="17"/>
      <c r="G2" s="17"/>
      <c r="H2" s="17"/>
      <c r="I2" s="17"/>
      <c r="J2" s="1"/>
    </row>
    <row r="3" spans="1:11" ht="19" x14ac:dyDescent="0.25">
      <c r="A3" s="19"/>
      <c r="B3" s="136" t="s">
        <v>8</v>
      </c>
      <c r="C3" s="17"/>
      <c r="D3" s="17"/>
      <c r="E3" s="17"/>
      <c r="F3" s="17"/>
      <c r="G3" s="17"/>
      <c r="H3" s="17"/>
      <c r="I3" s="17"/>
      <c r="J3" s="1"/>
    </row>
    <row r="4" spans="1:11" x14ac:dyDescent="0.2">
      <c r="A4" s="19"/>
      <c r="B4" s="17" t="s">
        <v>379</v>
      </c>
      <c r="C4" s="17"/>
      <c r="D4" s="17"/>
      <c r="E4" s="17"/>
      <c r="F4" s="17"/>
      <c r="G4" s="17"/>
      <c r="H4" s="17"/>
      <c r="I4" s="17"/>
      <c r="J4" s="1"/>
    </row>
    <row r="5" spans="1:11" ht="18" x14ac:dyDescent="0.25">
      <c r="A5" s="19"/>
      <c r="B5" s="17" t="s">
        <v>381</v>
      </c>
      <c r="C5" s="17"/>
      <c r="D5" s="17"/>
      <c r="E5" s="17"/>
      <c r="F5" s="17"/>
      <c r="G5" s="17"/>
      <c r="H5" s="17"/>
      <c r="I5" s="17"/>
      <c r="J5" s="1"/>
    </row>
    <row r="6" spans="1:11" x14ac:dyDescent="0.2">
      <c r="A6" s="19"/>
      <c r="B6" s="17"/>
      <c r="C6" s="17"/>
      <c r="D6" s="17"/>
      <c r="E6" s="17"/>
      <c r="F6" s="17"/>
      <c r="G6" s="17"/>
      <c r="H6" s="17"/>
      <c r="I6" s="17"/>
      <c r="J6" s="1"/>
    </row>
    <row r="7" spans="1:11" ht="48" customHeight="1" x14ac:dyDescent="0.2">
      <c r="A7" s="19"/>
      <c r="B7" s="17"/>
      <c r="C7" s="3" t="s">
        <v>51</v>
      </c>
      <c r="D7" s="137" t="s">
        <v>380</v>
      </c>
      <c r="E7" s="137" t="s">
        <v>382</v>
      </c>
      <c r="F7" s="17"/>
      <c r="G7" s="17"/>
      <c r="H7" s="17"/>
      <c r="I7" s="17"/>
      <c r="J7" s="1"/>
    </row>
    <row r="8" spans="1:11" x14ac:dyDescent="0.2">
      <c r="A8" s="19"/>
      <c r="B8" s="17"/>
      <c r="C8" s="2">
        <v>1</v>
      </c>
      <c r="D8" s="38">
        <v>600000</v>
      </c>
      <c r="E8" s="38">
        <v>600000</v>
      </c>
      <c r="F8" s="17"/>
      <c r="G8" s="17"/>
      <c r="H8" s="17"/>
      <c r="I8" s="17"/>
      <c r="J8" s="1"/>
      <c r="K8" s="112"/>
    </row>
    <row r="9" spans="1:11" x14ac:dyDescent="0.2">
      <c r="A9" s="19"/>
      <c r="B9" s="17"/>
      <c r="C9" s="2">
        <v>2</v>
      </c>
      <c r="D9" s="38">
        <v>700000</v>
      </c>
      <c r="E9" s="38">
        <v>685000</v>
      </c>
      <c r="F9" s="17"/>
      <c r="G9" s="17"/>
      <c r="H9" s="17"/>
      <c r="I9" s="17"/>
      <c r="J9" s="1"/>
    </row>
    <row r="10" spans="1:11" x14ac:dyDescent="0.2">
      <c r="A10" s="19"/>
      <c r="B10" s="17"/>
      <c r="C10" s="2">
        <v>3</v>
      </c>
      <c r="D10" s="38">
        <v>800000</v>
      </c>
      <c r="E10" s="38">
        <v>750000</v>
      </c>
      <c r="F10" s="17"/>
      <c r="G10" s="17"/>
      <c r="H10" s="17"/>
      <c r="I10" s="17"/>
      <c r="J10" s="1"/>
    </row>
    <row r="11" spans="1:11" x14ac:dyDescent="0.2">
      <c r="A11" s="19"/>
      <c r="B11" s="17"/>
      <c r="C11" s="2">
        <v>4</v>
      </c>
      <c r="D11" s="38">
        <v>850000</v>
      </c>
      <c r="E11" s="38">
        <v>840000</v>
      </c>
      <c r="F11" s="17"/>
      <c r="G11" s="17"/>
      <c r="H11" s="17"/>
      <c r="I11" s="17"/>
      <c r="J11" s="1"/>
    </row>
    <row r="12" spans="1:11" x14ac:dyDescent="0.2">
      <c r="A12" s="19"/>
      <c r="B12" s="17"/>
      <c r="C12" s="2">
        <v>5</v>
      </c>
      <c r="D12" s="38">
        <v>950000</v>
      </c>
      <c r="E12" s="38">
        <v>900000</v>
      </c>
      <c r="F12" s="17"/>
      <c r="G12" s="17"/>
      <c r="H12" s="17"/>
      <c r="I12" s="17"/>
      <c r="J12" s="1"/>
    </row>
    <row r="13" spans="1:11" x14ac:dyDescent="0.2">
      <c r="A13" s="19"/>
      <c r="B13" s="17"/>
      <c r="C13" s="2">
        <v>6</v>
      </c>
      <c r="D13" s="38">
        <v>1000000</v>
      </c>
      <c r="E13" s="38">
        <v>925000</v>
      </c>
      <c r="F13" s="17"/>
      <c r="G13" s="17"/>
      <c r="H13" s="17"/>
      <c r="I13" s="17"/>
      <c r="J13" s="1"/>
    </row>
    <row r="14" spans="1:11" x14ac:dyDescent="0.2">
      <c r="A14" s="19"/>
      <c r="B14" s="17"/>
      <c r="C14" s="2">
        <v>7</v>
      </c>
      <c r="D14" s="38">
        <v>1150000</v>
      </c>
      <c r="E14" s="38">
        <v>1000000</v>
      </c>
      <c r="F14" s="17"/>
      <c r="G14" s="17"/>
      <c r="H14" s="17"/>
      <c r="I14" s="17"/>
      <c r="J14" s="1"/>
    </row>
    <row r="15" spans="1:11" x14ac:dyDescent="0.2">
      <c r="A15" s="19"/>
      <c r="B15" s="17"/>
      <c r="C15" s="2">
        <v>8</v>
      </c>
      <c r="D15" s="38">
        <v>1250000</v>
      </c>
      <c r="E15" s="38">
        <v>1050000</v>
      </c>
      <c r="F15" s="17"/>
      <c r="G15" s="17"/>
      <c r="H15" s="17"/>
      <c r="I15" s="17"/>
      <c r="J15" s="1"/>
    </row>
    <row r="16" spans="1:11" x14ac:dyDescent="0.2">
      <c r="A16" s="19"/>
      <c r="B16" s="17"/>
      <c r="C16" s="2">
        <v>9</v>
      </c>
      <c r="D16" s="38">
        <v>1300000</v>
      </c>
      <c r="E16" s="38">
        <v>1100000</v>
      </c>
      <c r="F16" s="17"/>
      <c r="G16" s="17"/>
      <c r="H16" s="17"/>
      <c r="I16" s="17"/>
      <c r="J16" s="1"/>
    </row>
    <row r="17" spans="1:10" x14ac:dyDescent="0.2">
      <c r="A17" s="19"/>
      <c r="B17" s="17"/>
      <c r="C17" s="3">
        <v>10</v>
      </c>
      <c r="D17" s="52">
        <v>1400000</v>
      </c>
      <c r="E17" s="52">
        <v>1150000</v>
      </c>
      <c r="F17" s="17"/>
      <c r="G17" s="17"/>
      <c r="H17" s="17"/>
      <c r="I17" s="17"/>
      <c r="J17" s="1"/>
    </row>
    <row r="18" spans="1:10" x14ac:dyDescent="0.2">
      <c r="A18" s="19"/>
      <c r="B18" s="17"/>
      <c r="C18" s="2" t="s">
        <v>338</v>
      </c>
      <c r="D18" s="38">
        <f>AVERAGE(D8:D17)</f>
        <v>1000000</v>
      </c>
      <c r="E18" s="38">
        <f>AVERAGE(E8:E17)</f>
        <v>900000</v>
      </c>
      <c r="F18" s="17"/>
      <c r="G18" s="17"/>
      <c r="H18" s="17"/>
      <c r="I18" s="17"/>
      <c r="J18" s="1"/>
    </row>
    <row r="19" spans="1:10" x14ac:dyDescent="0.2">
      <c r="A19" s="19"/>
      <c r="B19" s="17"/>
      <c r="C19" s="17"/>
      <c r="D19" s="17"/>
      <c r="E19" s="17"/>
      <c r="F19" s="17"/>
      <c r="G19" s="17"/>
      <c r="H19" s="17"/>
      <c r="I19" s="17"/>
      <c r="J19" s="1"/>
    </row>
    <row r="20" spans="1:10" x14ac:dyDescent="0.2">
      <c r="A20" s="19"/>
      <c r="B20" s="17" t="s">
        <v>383</v>
      </c>
      <c r="C20" s="17"/>
      <c r="D20" s="17"/>
      <c r="E20" s="17"/>
      <c r="F20" s="17"/>
      <c r="G20" s="17"/>
      <c r="H20" s="17"/>
      <c r="I20" s="17"/>
      <c r="J20" s="1"/>
    </row>
    <row r="21" spans="1:10" x14ac:dyDescent="0.2">
      <c r="A21" s="19"/>
      <c r="B21" s="17" t="s">
        <v>384</v>
      </c>
      <c r="C21" s="17"/>
      <c r="D21" s="17"/>
      <c r="E21" s="17"/>
      <c r="F21" s="17"/>
      <c r="G21" s="17"/>
      <c r="H21" s="17"/>
      <c r="I21" s="17"/>
      <c r="J21" s="1"/>
    </row>
    <row r="22" spans="1:10" x14ac:dyDescent="0.2">
      <c r="A22" s="19"/>
      <c r="B22" s="17"/>
      <c r="C22" s="17"/>
      <c r="D22" s="17"/>
      <c r="E22" s="17"/>
      <c r="F22" s="17"/>
      <c r="G22" s="17"/>
      <c r="H22" s="17"/>
      <c r="I22" s="17"/>
      <c r="J22" s="1"/>
    </row>
    <row r="23" spans="1:10" x14ac:dyDescent="0.2">
      <c r="A23" s="19"/>
      <c r="B23" s="17"/>
      <c r="C23" s="17"/>
      <c r="D23" s="27" t="s">
        <v>20</v>
      </c>
      <c r="E23" s="33">
        <v>1250000</v>
      </c>
      <c r="F23" s="17"/>
      <c r="G23" s="17"/>
      <c r="H23" s="17"/>
      <c r="I23" s="17"/>
      <c r="J23" s="1"/>
    </row>
    <row r="24" spans="1:10" x14ac:dyDescent="0.2">
      <c r="A24" s="19"/>
      <c r="B24" s="17"/>
      <c r="C24" s="17"/>
      <c r="D24" s="27" t="s">
        <v>265</v>
      </c>
      <c r="E24" s="33">
        <v>250000</v>
      </c>
      <c r="F24" s="17"/>
      <c r="G24" s="17"/>
      <c r="H24" s="17"/>
      <c r="I24" s="17"/>
      <c r="J24" s="1"/>
    </row>
    <row r="25" spans="1:10" x14ac:dyDescent="0.2">
      <c r="A25" s="19"/>
      <c r="B25" s="17"/>
      <c r="C25" s="17"/>
      <c r="D25" s="27" t="s">
        <v>336</v>
      </c>
      <c r="E25" s="33">
        <v>1200000</v>
      </c>
      <c r="F25" s="17"/>
      <c r="G25" s="17"/>
      <c r="H25" s="17"/>
      <c r="I25" s="17"/>
      <c r="J25" s="1"/>
    </row>
    <row r="26" spans="1:10" x14ac:dyDescent="0.2">
      <c r="A26" s="19"/>
      <c r="B26" s="17"/>
      <c r="C26" s="17"/>
      <c r="D26" s="17"/>
      <c r="E26" s="17"/>
      <c r="F26" s="17"/>
      <c r="G26" s="17"/>
      <c r="H26" s="17"/>
      <c r="I26" s="17"/>
      <c r="J26" s="1"/>
    </row>
    <row r="27" spans="1:10" x14ac:dyDescent="0.2">
      <c r="A27" s="19"/>
      <c r="B27" s="17" t="s">
        <v>0</v>
      </c>
      <c r="C27" s="17"/>
      <c r="D27" s="17"/>
      <c r="E27" s="17"/>
      <c r="F27" s="17"/>
      <c r="G27" s="17"/>
      <c r="H27" s="17"/>
      <c r="I27" s="17"/>
      <c r="J27" s="1"/>
    </row>
    <row r="28" spans="1:10" ht="18" x14ac:dyDescent="0.25">
      <c r="A28" s="19"/>
      <c r="B28" s="17" t="s">
        <v>385</v>
      </c>
      <c r="C28" s="17"/>
      <c r="D28" s="17"/>
      <c r="E28" s="17"/>
      <c r="F28" s="17"/>
      <c r="G28" s="17"/>
      <c r="H28" s="17"/>
      <c r="I28" s="17"/>
      <c r="J28" s="1"/>
    </row>
    <row r="29" spans="1:10" x14ac:dyDescent="0.2">
      <c r="A29" s="19"/>
      <c r="B29" s="17"/>
      <c r="C29" s="17"/>
      <c r="D29" s="17"/>
      <c r="E29" s="17"/>
      <c r="F29" s="17"/>
      <c r="G29" s="17"/>
      <c r="H29" s="17"/>
      <c r="I29" s="17"/>
      <c r="J29" s="1"/>
    </row>
    <row r="30" spans="1:10" x14ac:dyDescent="0.2">
      <c r="A30" s="19"/>
      <c r="B30" s="17" t="s">
        <v>1</v>
      </c>
      <c r="C30" s="17"/>
      <c r="D30" s="17"/>
      <c r="E30" s="17"/>
      <c r="F30" s="17"/>
      <c r="G30" s="17"/>
      <c r="H30" s="17"/>
      <c r="I30" s="17"/>
      <c r="J30" s="1"/>
    </row>
    <row r="31" spans="1:10" x14ac:dyDescent="0.2">
      <c r="A31" s="19"/>
      <c r="B31" s="17" t="s">
        <v>386</v>
      </c>
      <c r="C31" s="17"/>
      <c r="D31" s="17"/>
      <c r="E31" s="17"/>
      <c r="F31" s="17"/>
      <c r="G31" s="17"/>
      <c r="H31" s="17"/>
      <c r="I31" s="17"/>
      <c r="J31" s="1"/>
    </row>
    <row r="32" spans="1:10" ht="17" thickBot="1" x14ac:dyDescent="0.25">
      <c r="A32" s="20"/>
      <c r="B32" s="6"/>
      <c r="C32" s="64"/>
      <c r="D32" s="64"/>
      <c r="E32" s="64"/>
      <c r="F32" s="6"/>
      <c r="G32" s="6"/>
      <c r="H32" s="6"/>
      <c r="I32" s="6"/>
      <c r="J32" s="7"/>
    </row>
    <row r="33" spans="1:12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12" ht="19" x14ac:dyDescent="0.25">
      <c r="A34" s="21" t="s">
        <v>3</v>
      </c>
      <c r="B34" s="4"/>
      <c r="C34" s="4"/>
      <c r="D34" s="4"/>
      <c r="E34" s="4"/>
      <c r="F34" s="4"/>
      <c r="G34" s="4"/>
      <c r="H34" s="4"/>
      <c r="I34" s="4"/>
    </row>
    <row r="35" spans="1:12" x14ac:dyDescent="0.2">
      <c r="A35" s="22"/>
      <c r="B35" s="4" t="s">
        <v>0</v>
      </c>
      <c r="C35" s="23"/>
      <c r="D35" s="4"/>
      <c r="E35" s="4"/>
      <c r="F35" s="4"/>
      <c r="G35" s="4"/>
      <c r="H35" s="4"/>
      <c r="I35" s="4"/>
    </row>
    <row r="36" spans="1:12" x14ac:dyDescent="0.2">
      <c r="A36" s="4"/>
      <c r="B36" s="4" t="s">
        <v>387</v>
      </c>
      <c r="C36" s="4"/>
      <c r="D36" s="4"/>
      <c r="E36" s="4"/>
      <c r="F36" s="4"/>
      <c r="G36" s="4"/>
      <c r="H36" s="4"/>
      <c r="I36" s="4"/>
    </row>
    <row r="37" spans="1:12" x14ac:dyDescent="0.2">
      <c r="A37" s="4"/>
      <c r="B37" s="4"/>
      <c r="C37" s="4"/>
      <c r="D37" s="4"/>
      <c r="E37" s="4"/>
      <c r="F37" s="4"/>
      <c r="G37" s="4"/>
      <c r="H37" s="4"/>
      <c r="I37" s="4"/>
      <c r="L37" s="24"/>
    </row>
    <row r="38" spans="1:12" x14ac:dyDescent="0.2">
      <c r="A38" s="4"/>
      <c r="B38" s="105" t="s">
        <v>344</v>
      </c>
      <c r="C38" s="63">
        <f>(D18-E18)/D18</f>
        <v>0.1</v>
      </c>
      <c r="D38" s="4"/>
      <c r="E38" s="4"/>
      <c r="F38" s="4"/>
      <c r="G38" s="4"/>
      <c r="H38" s="4"/>
      <c r="I38" s="4"/>
      <c r="L38" s="24"/>
    </row>
    <row r="39" spans="1:12" x14ac:dyDescent="0.2">
      <c r="A39" s="4"/>
      <c r="B39" s="4"/>
      <c r="C39" s="4"/>
      <c r="D39" s="4"/>
      <c r="E39" s="4"/>
      <c r="F39" s="4"/>
      <c r="G39" s="4"/>
      <c r="H39" s="4"/>
      <c r="I39" s="4"/>
      <c r="L39" s="24"/>
    </row>
    <row r="40" spans="1:12" x14ac:dyDescent="0.2">
      <c r="A40" s="4"/>
      <c r="D40" s="4"/>
      <c r="E40" s="4"/>
      <c r="F40" s="4"/>
      <c r="G40" s="4"/>
      <c r="H40" s="4"/>
      <c r="I40" s="4"/>
      <c r="L40" s="24"/>
    </row>
    <row r="41" spans="1:12" x14ac:dyDescent="0.2">
      <c r="A41" s="4"/>
      <c r="B41" s="4" t="s">
        <v>388</v>
      </c>
      <c r="C41" s="4"/>
      <c r="D41" s="4"/>
      <c r="E41" s="4"/>
      <c r="F41" s="4"/>
      <c r="G41" s="4"/>
      <c r="H41" s="4"/>
      <c r="I41" s="4"/>
      <c r="L41" s="24"/>
    </row>
    <row r="42" spans="1:12" x14ac:dyDescent="0.2">
      <c r="A42" s="4"/>
      <c r="B42" s="4"/>
      <c r="C42" s="4"/>
      <c r="D42" s="4"/>
      <c r="E42" s="4"/>
      <c r="F42" s="4"/>
      <c r="G42" s="4"/>
      <c r="H42" s="4"/>
      <c r="I42" s="4"/>
      <c r="L42" s="24"/>
    </row>
    <row r="43" spans="1:12" x14ac:dyDescent="0.2">
      <c r="A43" s="22"/>
      <c r="B43" s="98" t="s">
        <v>12</v>
      </c>
      <c r="C43" s="104">
        <f>E25/(E23*(1-C38))</f>
        <v>1.0666666666666667</v>
      </c>
      <c r="D43" s="4"/>
      <c r="E43" s="4"/>
      <c r="F43" s="4"/>
      <c r="G43" s="4"/>
      <c r="H43" s="4"/>
      <c r="I43" s="4"/>
    </row>
    <row r="44" spans="1:12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12" x14ac:dyDescent="0.2">
      <c r="A45" s="4"/>
      <c r="B45" s="4" t="s">
        <v>390</v>
      </c>
      <c r="C45" s="4"/>
      <c r="D45" s="4"/>
      <c r="E45" s="4"/>
      <c r="F45" s="4"/>
      <c r="G45" s="4"/>
      <c r="H45" s="4"/>
      <c r="I45" s="4"/>
    </row>
    <row r="46" spans="1:12" x14ac:dyDescent="0.2">
      <c r="A46" s="4"/>
      <c r="B46" s="4" t="s">
        <v>391</v>
      </c>
      <c r="C46" s="4"/>
      <c r="D46" s="4"/>
      <c r="E46" s="4"/>
      <c r="F46" s="4"/>
      <c r="G46" s="4"/>
      <c r="H46" s="4"/>
      <c r="I46" s="4"/>
    </row>
    <row r="47" spans="1:12" x14ac:dyDescent="0.2">
      <c r="A47" s="4"/>
      <c r="B47" s="4"/>
      <c r="C47" s="4"/>
      <c r="D47" s="4"/>
      <c r="E47" s="4"/>
      <c r="F47" s="4"/>
      <c r="G47" s="4"/>
      <c r="H47" s="4"/>
      <c r="I47" s="4"/>
    </row>
    <row r="48" spans="1:12" ht="36" x14ac:dyDescent="0.2">
      <c r="A48" s="4"/>
      <c r="B48" s="4"/>
      <c r="C48" s="37" t="s">
        <v>51</v>
      </c>
      <c r="D48" s="138" t="s">
        <v>392</v>
      </c>
      <c r="E48" s="11" t="s">
        <v>466</v>
      </c>
      <c r="F48" s="4"/>
      <c r="G48" s="4"/>
      <c r="H48" s="4"/>
    </row>
    <row r="49" spans="1:14" x14ac:dyDescent="0.2">
      <c r="A49" s="4"/>
      <c r="B49" s="4"/>
      <c r="C49" s="50">
        <v>1</v>
      </c>
      <c r="D49" s="114">
        <f>E8/E$18</f>
        <v>0.66666666666666663</v>
      </c>
      <c r="E49" s="202">
        <f>MAX(D49-$C$43,0)</f>
        <v>0</v>
      </c>
      <c r="F49" s="4"/>
      <c r="G49" s="4"/>
      <c r="H49" s="4"/>
    </row>
    <row r="50" spans="1:14" x14ac:dyDescent="0.2">
      <c r="A50" s="4"/>
      <c r="B50" s="4"/>
      <c r="C50" s="50">
        <v>2</v>
      </c>
      <c r="D50" s="114">
        <f t="shared" ref="D50:D58" si="0">E9/E$18</f>
        <v>0.76111111111111107</v>
      </c>
      <c r="E50" s="202">
        <f t="shared" ref="E50:E58" si="1">MAX(D50-$C$43,0)</f>
        <v>0</v>
      </c>
      <c r="F50" s="4"/>
      <c r="G50" s="4"/>
      <c r="H50" s="4"/>
    </row>
    <row r="51" spans="1:14" x14ac:dyDescent="0.2">
      <c r="A51" s="4"/>
      <c r="B51" s="4"/>
      <c r="C51" s="50">
        <v>3</v>
      </c>
      <c r="D51" s="114">
        <f>E10/E$18</f>
        <v>0.83333333333333337</v>
      </c>
      <c r="E51" s="202">
        <f t="shared" si="1"/>
        <v>0</v>
      </c>
      <c r="F51" s="4"/>
      <c r="G51" s="4"/>
      <c r="H51" s="4"/>
    </row>
    <row r="52" spans="1:14" x14ac:dyDescent="0.2">
      <c r="A52" s="4"/>
      <c r="B52" s="4"/>
      <c r="C52" s="50">
        <v>4</v>
      </c>
      <c r="D52" s="114">
        <f>E11/E$18</f>
        <v>0.93333333333333335</v>
      </c>
      <c r="E52" s="202">
        <f t="shared" si="1"/>
        <v>0</v>
      </c>
      <c r="F52" s="4"/>
      <c r="G52" s="4"/>
      <c r="H52" s="4"/>
    </row>
    <row r="53" spans="1:14" x14ac:dyDescent="0.2">
      <c r="A53" s="4"/>
      <c r="B53" s="4"/>
      <c r="C53" s="50">
        <v>5</v>
      </c>
      <c r="D53" s="114">
        <f t="shared" si="0"/>
        <v>1</v>
      </c>
      <c r="E53" s="202">
        <f t="shared" si="1"/>
        <v>0</v>
      </c>
      <c r="F53" s="4"/>
      <c r="G53" s="4"/>
      <c r="H53" s="4"/>
    </row>
    <row r="54" spans="1:14" x14ac:dyDescent="0.2">
      <c r="A54" s="22"/>
      <c r="B54" s="4"/>
      <c r="C54" s="50">
        <v>6</v>
      </c>
      <c r="D54" s="114">
        <f t="shared" si="0"/>
        <v>1.0277777777777777</v>
      </c>
      <c r="E54" s="202">
        <f t="shared" si="1"/>
        <v>0</v>
      </c>
      <c r="F54" s="4"/>
      <c r="G54" s="4"/>
      <c r="H54" s="4"/>
    </row>
    <row r="55" spans="1:14" x14ac:dyDescent="0.2">
      <c r="A55" s="4"/>
      <c r="B55" s="4"/>
      <c r="C55" s="50">
        <v>7</v>
      </c>
      <c r="D55" s="114">
        <f t="shared" si="0"/>
        <v>1.1111111111111112</v>
      </c>
      <c r="E55" s="202">
        <f t="shared" si="1"/>
        <v>4.4444444444444509E-2</v>
      </c>
      <c r="F55" s="4"/>
      <c r="G55" s="4"/>
      <c r="H55" s="4"/>
      <c r="K55" s="4"/>
      <c r="L55" s="23"/>
      <c r="M55" s="4"/>
    </row>
    <row r="56" spans="1:14" x14ac:dyDescent="0.2">
      <c r="A56" s="4"/>
      <c r="B56" s="4"/>
      <c r="C56" s="50">
        <v>8</v>
      </c>
      <c r="D56" s="114">
        <f t="shared" si="0"/>
        <v>1.1666666666666667</v>
      </c>
      <c r="E56" s="202">
        <f t="shared" si="1"/>
        <v>0.10000000000000009</v>
      </c>
      <c r="F56" s="4"/>
      <c r="G56" s="4"/>
      <c r="H56" s="4"/>
      <c r="K56" s="24"/>
      <c r="L56" s="24"/>
      <c r="M56" s="24"/>
    </row>
    <row r="57" spans="1:14" x14ac:dyDescent="0.2">
      <c r="A57" s="4"/>
      <c r="B57" s="4"/>
      <c r="C57" s="50">
        <v>9</v>
      </c>
      <c r="D57" s="114">
        <f t="shared" si="0"/>
        <v>1.2222222222222223</v>
      </c>
      <c r="E57" s="202">
        <f t="shared" si="1"/>
        <v>0.15555555555555567</v>
      </c>
      <c r="F57" s="4"/>
      <c r="G57" s="4"/>
      <c r="H57" s="4"/>
      <c r="K57" s="24"/>
      <c r="L57" s="24"/>
      <c r="M57" s="24"/>
    </row>
    <row r="58" spans="1:14" x14ac:dyDescent="0.2">
      <c r="A58" s="4"/>
      <c r="B58" s="4"/>
      <c r="C58" s="50">
        <v>10</v>
      </c>
      <c r="D58" s="114">
        <f t="shared" si="0"/>
        <v>1.2777777777777777</v>
      </c>
      <c r="E58" s="202">
        <f t="shared" si="1"/>
        <v>0.21111111111111103</v>
      </c>
      <c r="F58" s="4"/>
      <c r="G58" s="4"/>
      <c r="H58" s="4"/>
      <c r="K58" s="24"/>
      <c r="L58" s="24"/>
      <c r="M58" s="24"/>
    </row>
    <row r="59" spans="1:14" x14ac:dyDescent="0.2">
      <c r="A59" s="4"/>
      <c r="B59" s="4"/>
      <c r="C59" s="4"/>
      <c r="D59" s="4"/>
      <c r="E59" s="4"/>
      <c r="F59" s="4"/>
      <c r="G59" s="4"/>
      <c r="H59" s="4"/>
      <c r="I59" s="4"/>
      <c r="L59" s="24"/>
      <c r="M59" s="24"/>
      <c r="N59" s="24"/>
    </row>
    <row r="60" spans="1:14" x14ac:dyDescent="0.2">
      <c r="A60" s="4"/>
      <c r="B60" s="4" t="s">
        <v>393</v>
      </c>
      <c r="C60" s="4"/>
      <c r="D60" s="4"/>
      <c r="E60" s="4"/>
      <c r="F60" s="4"/>
      <c r="G60" s="4"/>
      <c r="H60" s="4"/>
      <c r="I60" s="4"/>
      <c r="L60" s="24"/>
      <c r="M60" s="24"/>
      <c r="N60" s="24"/>
    </row>
    <row r="61" spans="1:14" x14ac:dyDescent="0.2">
      <c r="A61" s="4"/>
      <c r="B61" s="4"/>
      <c r="C61" s="4"/>
      <c r="D61" s="4"/>
      <c r="E61" s="4"/>
      <c r="F61" s="4"/>
      <c r="G61" s="4"/>
      <c r="H61" s="4"/>
      <c r="I61" s="4"/>
      <c r="L61" s="24"/>
      <c r="M61" s="24"/>
      <c r="N61" s="24"/>
    </row>
    <row r="62" spans="1:14" x14ac:dyDescent="0.2">
      <c r="A62" s="4"/>
      <c r="B62" s="4"/>
      <c r="C62" s="4"/>
      <c r="D62" s="4"/>
      <c r="E62" s="4"/>
      <c r="F62" s="4"/>
      <c r="G62" s="4"/>
      <c r="H62" s="4"/>
      <c r="I62" s="4"/>
      <c r="L62" s="24"/>
      <c r="M62" s="24"/>
      <c r="N62" s="24"/>
    </row>
    <row r="63" spans="1:14" x14ac:dyDescent="0.2">
      <c r="A63" s="4"/>
      <c r="B63" s="4"/>
      <c r="C63" s="4"/>
      <c r="D63" s="4"/>
      <c r="E63" s="4"/>
      <c r="F63" s="4"/>
      <c r="G63" s="4"/>
      <c r="H63" s="4"/>
      <c r="I63" s="4"/>
      <c r="L63" s="24"/>
      <c r="M63" s="24"/>
      <c r="N63" s="24"/>
    </row>
    <row r="64" spans="1:14" ht="17" thickBot="1" x14ac:dyDescent="0.25">
      <c r="A64" s="4"/>
      <c r="B64" s="4"/>
      <c r="C64" s="4"/>
      <c r="D64" s="4"/>
      <c r="E64" s="4"/>
      <c r="F64" s="4"/>
      <c r="G64" s="4"/>
      <c r="H64" s="4"/>
      <c r="I64" s="4"/>
      <c r="L64" s="4"/>
      <c r="M64" s="23"/>
      <c r="N64" s="4"/>
    </row>
    <row r="65" spans="1:14" ht="19" thickBot="1" x14ac:dyDescent="0.3">
      <c r="A65" s="4"/>
      <c r="C65" s="204" t="s">
        <v>467</v>
      </c>
      <c r="D65" s="205">
        <f>AVERAGE(E49:E58)</f>
        <v>5.1111111111111128E-2</v>
      </c>
      <c r="E65" s="200"/>
      <c r="F65" s="183"/>
      <c r="G65" s="4"/>
      <c r="H65" s="4"/>
      <c r="I65" s="4"/>
      <c r="L65" s="24"/>
      <c r="M65" s="24"/>
      <c r="N65" s="24"/>
    </row>
    <row r="66" spans="1:14" x14ac:dyDescent="0.2">
      <c r="A66" s="4"/>
      <c r="B66" s="4"/>
      <c r="C66" s="4"/>
      <c r="D66" s="4"/>
      <c r="E66" s="183"/>
      <c r="F66" s="183"/>
      <c r="G66" s="4"/>
      <c r="H66" s="4"/>
      <c r="I66" s="4"/>
      <c r="L66" s="24"/>
      <c r="M66" s="24"/>
      <c r="N66" s="24"/>
    </row>
    <row r="67" spans="1:14" x14ac:dyDescent="0.2">
      <c r="A67" s="4"/>
      <c r="B67" s="4"/>
      <c r="C67" s="4"/>
      <c r="D67" s="4"/>
      <c r="E67" s="4"/>
      <c r="F67" s="4"/>
      <c r="G67" s="4"/>
      <c r="H67" s="4"/>
      <c r="I67" s="4"/>
      <c r="L67" s="24"/>
      <c r="M67" s="24"/>
      <c r="N67" s="24"/>
    </row>
    <row r="68" spans="1:14" x14ac:dyDescent="0.2">
      <c r="A68" s="4"/>
      <c r="B68" s="4" t="s">
        <v>1</v>
      </c>
      <c r="C68" s="4"/>
      <c r="D68" s="4"/>
      <c r="E68" s="4"/>
      <c r="F68" s="4"/>
      <c r="G68" s="4"/>
      <c r="H68" s="4"/>
      <c r="I68" s="4"/>
      <c r="L68" s="24"/>
      <c r="M68" s="24"/>
      <c r="N68" s="24"/>
    </row>
    <row r="69" spans="1:14" x14ac:dyDescent="0.2">
      <c r="A69" s="4"/>
      <c r="B69" s="4" t="s">
        <v>394</v>
      </c>
      <c r="C69" s="4"/>
      <c r="D69" s="4"/>
      <c r="E69" s="4"/>
      <c r="F69" s="4"/>
      <c r="G69" s="4"/>
      <c r="H69" s="4"/>
      <c r="I69" s="4"/>
      <c r="L69" s="24"/>
      <c r="M69" s="24"/>
      <c r="N69" s="24"/>
    </row>
    <row r="70" spans="1:14" x14ac:dyDescent="0.2">
      <c r="A70" s="4"/>
      <c r="B70" s="4"/>
      <c r="C70" s="4"/>
      <c r="D70" s="4"/>
      <c r="E70" s="4"/>
      <c r="F70" s="4"/>
      <c r="G70" s="4"/>
      <c r="H70" s="4"/>
      <c r="I70" s="4"/>
      <c r="L70" s="24"/>
      <c r="M70" s="24"/>
      <c r="N70" s="24"/>
    </row>
    <row r="71" spans="1:14" ht="17" thickBot="1" x14ac:dyDescent="0.25">
      <c r="A71" s="4"/>
      <c r="B71" s="4"/>
      <c r="C71" s="4"/>
      <c r="D71" s="4"/>
      <c r="E71" s="4"/>
      <c r="F71" s="4"/>
      <c r="G71" s="4"/>
      <c r="H71" s="4"/>
      <c r="I71" s="4"/>
      <c r="L71" s="24"/>
      <c r="M71" s="24"/>
      <c r="N71" s="24"/>
    </row>
    <row r="72" spans="1:14" ht="17" thickBot="1" x14ac:dyDescent="0.25">
      <c r="A72" s="4"/>
      <c r="C72" s="201" t="s">
        <v>395</v>
      </c>
      <c r="D72" s="203">
        <f>C38*E23+D65*(1-C38)*E23</f>
        <v>182500</v>
      </c>
      <c r="E72" s="4"/>
      <c r="F72" s="4"/>
      <c r="G72" s="4"/>
      <c r="H72" s="4"/>
      <c r="I72" s="4"/>
      <c r="L72" s="24"/>
      <c r="M72" s="24"/>
      <c r="N72" s="24"/>
    </row>
    <row r="73" spans="1:14" x14ac:dyDescent="0.2">
      <c r="A73" s="4"/>
      <c r="B73" s="4"/>
      <c r="C73" s="4"/>
      <c r="D73" s="4"/>
      <c r="E73" s="4"/>
      <c r="F73" s="4"/>
      <c r="G73" s="4"/>
      <c r="H73" s="4"/>
      <c r="I73" s="4"/>
      <c r="L73" s="24"/>
      <c r="M73" s="24"/>
      <c r="N73" s="24"/>
    </row>
    <row r="74" spans="1:14" ht="19" x14ac:dyDescent="0.25">
      <c r="A74" s="21" t="s">
        <v>5</v>
      </c>
      <c r="B74" s="4"/>
      <c r="C74" s="4"/>
      <c r="D74" s="4"/>
      <c r="E74" s="4"/>
      <c r="F74" s="4"/>
      <c r="G74" s="4"/>
      <c r="H74" s="4"/>
      <c r="I74" s="4"/>
      <c r="L74" s="4"/>
      <c r="M74" s="23"/>
      <c r="N74" s="4"/>
    </row>
    <row r="75" spans="1:14" x14ac:dyDescent="0.2">
      <c r="A75" s="4" t="s">
        <v>396</v>
      </c>
      <c r="B75" s="4"/>
      <c r="C75" s="4"/>
      <c r="D75" s="4"/>
      <c r="E75" s="4"/>
      <c r="F75" s="4"/>
      <c r="G75" s="4"/>
      <c r="H75" s="4"/>
      <c r="I75" s="4"/>
      <c r="L75" s="24"/>
      <c r="M75" s="24"/>
      <c r="N75" s="24"/>
    </row>
    <row r="76" spans="1:14" x14ac:dyDescent="0.2">
      <c r="A76" s="4" t="s">
        <v>397</v>
      </c>
      <c r="B76" s="4"/>
      <c r="C76" s="4"/>
      <c r="D76" s="4"/>
      <c r="E76" s="4"/>
      <c r="F76" s="4"/>
      <c r="G76" s="4"/>
      <c r="H76" s="4"/>
      <c r="I76" s="4"/>
      <c r="L76" s="24"/>
      <c r="M76" s="24"/>
      <c r="N76" s="24"/>
    </row>
    <row r="77" spans="1:14" x14ac:dyDescent="0.2">
      <c r="A77" s="4" t="s">
        <v>398</v>
      </c>
      <c r="B77" s="4"/>
      <c r="C77" s="4"/>
      <c r="D77" s="4"/>
      <c r="E77" s="4"/>
      <c r="F77" s="4"/>
      <c r="G77" s="4"/>
      <c r="H77" s="4"/>
      <c r="I77" s="4"/>
      <c r="L77" s="24"/>
      <c r="M77" s="24"/>
      <c r="N77" s="24"/>
    </row>
    <row r="78" spans="1:14" x14ac:dyDescent="0.2">
      <c r="A78" s="4"/>
      <c r="B78" s="4"/>
      <c r="C78" s="4"/>
      <c r="D78" s="4"/>
      <c r="E78" s="4"/>
      <c r="F78" s="4"/>
      <c r="G78" s="4"/>
      <c r="H78" s="4"/>
      <c r="I78" s="4"/>
      <c r="L78" s="24"/>
      <c r="M78" s="24"/>
      <c r="N78" s="24"/>
    </row>
    <row r="79" spans="1:14" ht="19" x14ac:dyDescent="0.25">
      <c r="A79" s="21" t="s">
        <v>6</v>
      </c>
      <c r="B79" s="4"/>
      <c r="C79" s="4"/>
      <c r="D79" s="4"/>
      <c r="E79" s="4"/>
      <c r="F79" s="4"/>
      <c r="G79" s="4"/>
      <c r="H79" s="4"/>
      <c r="I79" s="4"/>
      <c r="L79" s="24"/>
      <c r="M79" s="24"/>
      <c r="N79" s="24"/>
    </row>
    <row r="80" spans="1:14" x14ac:dyDescent="0.2">
      <c r="A80" s="4" t="s">
        <v>399</v>
      </c>
      <c r="B80" s="4"/>
      <c r="C80" s="4"/>
      <c r="D80" s="4"/>
      <c r="E80" s="4"/>
      <c r="F80" s="4"/>
      <c r="G80" s="4"/>
      <c r="H80" s="4"/>
      <c r="I80" s="4"/>
      <c r="L80" s="24"/>
      <c r="M80" s="24"/>
      <c r="N80" s="24"/>
    </row>
    <row r="81" spans="1:65" x14ac:dyDescent="0.2">
      <c r="A81" s="4"/>
      <c r="B81" s="4"/>
      <c r="C81" s="4"/>
      <c r="D81" s="4"/>
      <c r="E81" s="4"/>
      <c r="F81" s="4"/>
      <c r="G81" s="4"/>
      <c r="H81" s="4"/>
      <c r="I81" s="4"/>
      <c r="L81" s="24"/>
      <c r="M81" s="24"/>
      <c r="N81" s="24"/>
    </row>
    <row r="82" spans="1:65" x14ac:dyDescent="0.2">
      <c r="A82" s="4"/>
      <c r="B82" s="4"/>
      <c r="C82" s="4"/>
      <c r="D82" s="4"/>
      <c r="E82" s="4"/>
      <c r="F82" s="4"/>
      <c r="G82" s="4"/>
      <c r="H82" s="4"/>
      <c r="I82" s="4"/>
      <c r="L82" s="24"/>
      <c r="M82" s="24"/>
      <c r="N82" s="24"/>
    </row>
    <row r="83" spans="1:65" x14ac:dyDescent="0.2">
      <c r="A83" s="4"/>
      <c r="B83" s="4"/>
      <c r="C83" s="4"/>
      <c r="D83" s="4"/>
      <c r="E83" s="4"/>
      <c r="F83" s="4"/>
      <c r="G83" s="4"/>
      <c r="H83" s="4"/>
      <c r="I83" s="4"/>
      <c r="L83" s="24"/>
      <c r="M83" s="24"/>
      <c r="N83" s="24"/>
    </row>
    <row r="84" spans="1:65" x14ac:dyDescent="0.2">
      <c r="A84" s="4"/>
      <c r="B84" s="4"/>
      <c r="C84" s="4"/>
      <c r="D84" s="4"/>
      <c r="E84" s="4"/>
      <c r="F84" s="4"/>
      <c r="G84" s="4"/>
      <c r="H84" s="4"/>
      <c r="I84" s="4"/>
      <c r="L84" s="4"/>
      <c r="M84" s="23"/>
      <c r="N84" s="4"/>
    </row>
    <row r="85" spans="1:65" x14ac:dyDescent="0.2">
      <c r="A85" s="4"/>
      <c r="B85" s="4"/>
      <c r="C85" s="4"/>
      <c r="D85" s="4"/>
      <c r="E85" s="4"/>
      <c r="F85" s="4"/>
      <c r="G85" s="4"/>
      <c r="H85" s="4"/>
      <c r="I85" s="4"/>
      <c r="L85" s="24"/>
      <c r="M85" s="24"/>
      <c r="N85" s="24"/>
    </row>
    <row r="86" spans="1:65" x14ac:dyDescent="0.2">
      <c r="A86" s="4"/>
      <c r="B86" s="4"/>
      <c r="C86" s="4"/>
      <c r="D86" s="4"/>
      <c r="E86" s="4"/>
      <c r="F86" s="4"/>
      <c r="G86" s="4"/>
      <c r="H86" s="4"/>
      <c r="I86" s="4"/>
      <c r="L86" s="24"/>
      <c r="M86" s="24"/>
      <c r="N86" s="24"/>
    </row>
    <row r="87" spans="1:65" x14ac:dyDescent="0.2">
      <c r="A87" s="4"/>
      <c r="B87" s="4"/>
      <c r="C87" s="4"/>
      <c r="D87" s="4"/>
      <c r="E87" s="4"/>
      <c r="F87" s="4"/>
      <c r="G87" s="4"/>
      <c r="H87" s="4"/>
      <c r="I87" s="4"/>
      <c r="L87" s="24"/>
      <c r="M87" s="24"/>
      <c r="N87" s="24"/>
    </row>
    <row r="88" spans="1:65" x14ac:dyDescent="0.2">
      <c r="A88" s="4"/>
      <c r="B88" s="4"/>
      <c r="C88" s="4"/>
      <c r="D88" s="4"/>
      <c r="E88" s="4"/>
      <c r="F88" s="4"/>
      <c r="G88" s="4"/>
      <c r="H88" s="4"/>
      <c r="I88" s="4"/>
      <c r="L88" s="24"/>
      <c r="M88" s="24"/>
      <c r="N88" s="24"/>
    </row>
    <row r="89" spans="1:65" x14ac:dyDescent="0.2">
      <c r="A89" s="4"/>
      <c r="B89" s="4"/>
      <c r="C89" s="4"/>
      <c r="D89" s="4"/>
      <c r="E89" s="4"/>
      <c r="F89" s="4"/>
      <c r="G89" s="4"/>
      <c r="H89" s="4"/>
      <c r="I89" s="4"/>
      <c r="L89" s="24"/>
      <c r="M89" s="24"/>
      <c r="N89" s="24"/>
    </row>
    <row r="90" spans="1:65" x14ac:dyDescent="0.2">
      <c r="A90" s="4"/>
      <c r="B90" s="4"/>
      <c r="C90" s="4"/>
      <c r="D90" s="4"/>
      <c r="E90" s="4"/>
      <c r="F90" s="4"/>
      <c r="G90" s="4"/>
      <c r="H90" s="4"/>
      <c r="I90" s="4"/>
      <c r="L90" s="24"/>
      <c r="M90" s="24"/>
      <c r="N90" s="24"/>
    </row>
    <row r="91" spans="1:65" x14ac:dyDescent="0.2">
      <c r="A91" s="4"/>
      <c r="B91" s="4"/>
      <c r="C91" s="4"/>
      <c r="D91" s="4"/>
      <c r="E91" s="4"/>
      <c r="F91" s="4"/>
      <c r="G91" s="4"/>
      <c r="H91" s="4"/>
      <c r="I91" s="4"/>
      <c r="L91" s="24"/>
      <c r="M91" s="24"/>
      <c r="N91" s="24"/>
    </row>
    <row r="92" spans="1:65" x14ac:dyDescent="0.2">
      <c r="A92" s="4"/>
      <c r="B92" s="4"/>
      <c r="C92" s="4"/>
      <c r="D92" s="4"/>
      <c r="E92" s="4"/>
      <c r="F92" s="4"/>
      <c r="G92" s="4"/>
      <c r="H92" s="4"/>
      <c r="I92" s="4"/>
      <c r="L92" s="24"/>
      <c r="M92" s="24"/>
      <c r="N92" s="24"/>
    </row>
    <row r="93" spans="1:65" x14ac:dyDescent="0.2">
      <c r="A93" s="4"/>
      <c r="B93" s="4"/>
      <c r="C93" s="4"/>
      <c r="D93" s="4"/>
      <c r="E93" s="4"/>
      <c r="F93" s="4"/>
      <c r="G93" s="4"/>
      <c r="H93" s="4"/>
      <c r="I93" s="4"/>
      <c r="L93" s="24"/>
      <c r="M93" s="24"/>
      <c r="N93" s="24"/>
    </row>
    <row r="94" spans="1:65" x14ac:dyDescent="0.2">
      <c r="A94" s="4"/>
      <c r="B94" s="4"/>
      <c r="C94" s="4"/>
      <c r="D94" s="4"/>
      <c r="E94" s="4"/>
      <c r="F94" s="4"/>
      <c r="G94" s="4"/>
      <c r="H94" s="4"/>
      <c r="I94" s="4"/>
      <c r="L94" s="4"/>
      <c r="M94" s="23"/>
      <c r="N94" s="4"/>
    </row>
    <row r="95" spans="1:65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</row>
    <row r="96" spans="1:65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</row>
    <row r="97" spans="1:65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</row>
    <row r="98" spans="1:65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</row>
    <row r="99" spans="1:65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</row>
    <row r="100" spans="1:65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</row>
    <row r="101" spans="1:65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</row>
    <row r="102" spans="1:65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</row>
    <row r="103" spans="1:65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</row>
    <row r="104" spans="1:65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</row>
    <row r="105" spans="1:65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</row>
    <row r="106" spans="1:65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</row>
    <row r="107" spans="1:65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</row>
    <row r="108" spans="1:65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</row>
    <row r="109" spans="1:65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</row>
    <row r="110" spans="1:65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</row>
    <row r="111" spans="1:65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</row>
    <row r="112" spans="1:65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</row>
    <row r="113" spans="1:65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</row>
    <row r="114" spans="1:65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</row>
    <row r="115" spans="1:65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</row>
    <row r="116" spans="1:65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</row>
    <row r="117" spans="1:65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</row>
    <row r="118" spans="1:65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</row>
    <row r="119" spans="1:65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</row>
    <row r="120" spans="1:65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</row>
    <row r="121" spans="1:65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</row>
    <row r="122" spans="1:65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</row>
    <row r="123" spans="1:65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</row>
    <row r="124" spans="1:65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</row>
    <row r="125" spans="1:65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</row>
    <row r="126" spans="1:65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</row>
    <row r="127" spans="1:65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</row>
    <row r="128" spans="1:65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</row>
    <row r="129" spans="1:65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</row>
    <row r="130" spans="1:65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</row>
    <row r="131" spans="1:65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</row>
    <row r="132" spans="1:65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</row>
    <row r="133" spans="1:65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</row>
    <row r="134" spans="1:65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</row>
    <row r="135" spans="1:65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</row>
    <row r="136" spans="1:65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</row>
    <row r="137" spans="1:65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</row>
    <row r="138" spans="1:65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</row>
    <row r="139" spans="1:65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</row>
    <row r="140" spans="1:65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</row>
    <row r="141" spans="1:65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</row>
    <row r="142" spans="1:65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</row>
    <row r="143" spans="1:65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</row>
    <row r="144" spans="1:65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</row>
    <row r="145" spans="1:65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</row>
    <row r="146" spans="1:65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</row>
    <row r="147" spans="1:65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</row>
    <row r="148" spans="1:65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</row>
    <row r="149" spans="1:65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</row>
    <row r="150" spans="1:65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</row>
    <row r="151" spans="1:65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</row>
    <row r="152" spans="1:65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</row>
    <row r="153" spans="1:65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</row>
    <row r="154" spans="1:65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</row>
    <row r="155" spans="1:65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</row>
    <row r="156" spans="1:65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</row>
    <row r="157" spans="1:65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</row>
    <row r="158" spans="1:65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</row>
    <row r="159" spans="1:65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</row>
    <row r="160" spans="1:65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</row>
    <row r="161" spans="1:65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</row>
    <row r="162" spans="1:65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</row>
    <row r="163" spans="1:65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</row>
    <row r="164" spans="1:65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</row>
    <row r="165" spans="1:65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</row>
    <row r="166" spans="1:65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</row>
    <row r="167" spans="1:65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</row>
    <row r="168" spans="1:65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</row>
    <row r="169" spans="1:65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</row>
    <row r="170" spans="1:65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</row>
    <row r="171" spans="1:65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</row>
    <row r="172" spans="1:65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</row>
    <row r="173" spans="1:65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</row>
    <row r="174" spans="1:65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</row>
    <row r="175" spans="1:65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</row>
    <row r="176" spans="1:65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</row>
    <row r="177" spans="1:65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</row>
    <row r="178" spans="1:65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</row>
    <row r="179" spans="1:65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</row>
    <row r="180" spans="1:65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</row>
    <row r="181" spans="1:65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</row>
    <row r="182" spans="1:65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</row>
    <row r="183" spans="1:65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</row>
    <row r="184" spans="1:65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</row>
    <row r="185" spans="1:65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</row>
    <row r="186" spans="1:65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</row>
    <row r="187" spans="1:65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</row>
    <row r="188" spans="1:65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</row>
    <row r="189" spans="1:65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</row>
    <row r="190" spans="1:65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</row>
    <row r="191" spans="1:65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</row>
    <row r="192" spans="1:65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</row>
    <row r="193" spans="1:65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</row>
    <row r="194" spans="1:65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</row>
    <row r="195" spans="1:65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</row>
    <row r="196" spans="1:65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191AC-2957-984F-B6A7-4DF4153BE57B}">
  <dimension ref="A1:AZ156"/>
  <sheetViews>
    <sheetView showGridLines="0" zoomScale="120" zoomScaleNormal="120" workbookViewId="0"/>
  </sheetViews>
  <sheetFormatPr baseColWidth="10" defaultRowHeight="16" x14ac:dyDescent="0.2"/>
  <cols>
    <col min="1" max="4" width="10.83203125" style="18"/>
    <col min="5" max="5" width="15.1640625" style="18" customWidth="1"/>
    <col min="6" max="16384" width="10.83203125" style="18"/>
  </cols>
  <sheetData>
    <row r="1" spans="1:10" ht="19" x14ac:dyDescent="0.25">
      <c r="A1" s="16" t="s">
        <v>389</v>
      </c>
      <c r="B1" s="17"/>
      <c r="C1" s="17"/>
      <c r="D1" s="17"/>
      <c r="E1" s="17"/>
      <c r="F1" s="17"/>
      <c r="G1" s="17"/>
      <c r="H1" s="17"/>
      <c r="I1" s="17"/>
      <c r="J1" s="1"/>
    </row>
    <row r="2" spans="1:10" x14ac:dyDescent="0.2">
      <c r="A2" s="19"/>
      <c r="B2" s="17"/>
      <c r="C2" s="17"/>
      <c r="D2" s="17"/>
      <c r="E2" s="17"/>
      <c r="F2" s="17"/>
      <c r="G2" s="17"/>
      <c r="H2" s="17"/>
      <c r="I2" s="17"/>
      <c r="J2" s="1"/>
    </row>
    <row r="3" spans="1:10" ht="19" x14ac:dyDescent="0.25">
      <c r="A3" s="19"/>
      <c r="B3" s="136" t="s">
        <v>8</v>
      </c>
      <c r="C3" s="17"/>
      <c r="D3" s="17"/>
      <c r="E3" s="17"/>
      <c r="F3" s="17"/>
      <c r="G3" s="17"/>
      <c r="H3" s="17"/>
      <c r="I3" s="17"/>
      <c r="J3" s="1"/>
    </row>
    <row r="4" spans="1:10" x14ac:dyDescent="0.2">
      <c r="A4" s="19"/>
      <c r="B4" s="17" t="s">
        <v>401</v>
      </c>
      <c r="C4" s="17"/>
      <c r="D4" s="17"/>
      <c r="E4" s="17"/>
      <c r="F4" s="17"/>
      <c r="G4" s="17"/>
      <c r="H4" s="17"/>
      <c r="I4" s="17"/>
      <c r="J4" s="1"/>
    </row>
    <row r="5" spans="1:10" x14ac:dyDescent="0.2">
      <c r="A5" s="19"/>
      <c r="B5" s="17" t="s">
        <v>400</v>
      </c>
      <c r="C5" s="17"/>
      <c r="D5" s="17"/>
      <c r="E5" s="17"/>
      <c r="F5" s="17"/>
      <c r="G5" s="17"/>
      <c r="H5" s="17"/>
      <c r="I5" s="17"/>
      <c r="J5" s="1"/>
    </row>
    <row r="6" spans="1:10" x14ac:dyDescent="0.2">
      <c r="A6" s="19"/>
      <c r="B6" s="17"/>
      <c r="C6" s="17"/>
      <c r="D6" s="17"/>
      <c r="E6" s="17"/>
      <c r="F6" s="17"/>
      <c r="G6" s="17"/>
      <c r="H6" s="17"/>
      <c r="I6" s="17"/>
      <c r="J6" s="1"/>
    </row>
    <row r="7" spans="1:10" ht="68" x14ac:dyDescent="0.2">
      <c r="A7" s="19"/>
      <c r="B7" s="115"/>
      <c r="C7" s="3" t="s">
        <v>51</v>
      </c>
      <c r="D7" s="137" t="s">
        <v>402</v>
      </c>
      <c r="E7" s="137" t="s">
        <v>403</v>
      </c>
      <c r="F7" s="184"/>
      <c r="G7" s="17"/>
      <c r="H7" s="17"/>
      <c r="I7" s="17"/>
      <c r="J7" s="1"/>
    </row>
    <row r="8" spans="1:10" x14ac:dyDescent="0.2">
      <c r="A8" s="19"/>
      <c r="B8" s="115"/>
      <c r="C8" s="2">
        <v>1</v>
      </c>
      <c r="D8" s="65">
        <v>0.1</v>
      </c>
      <c r="E8" s="65">
        <v>0.08</v>
      </c>
      <c r="F8" s="17"/>
      <c r="G8" s="17"/>
      <c r="H8" s="17"/>
      <c r="I8" s="17"/>
      <c r="J8" s="1"/>
    </row>
    <row r="9" spans="1:10" x14ac:dyDescent="0.2">
      <c r="A9" s="19"/>
      <c r="B9" s="115"/>
      <c r="C9" s="2">
        <v>2</v>
      </c>
      <c r="D9" s="65">
        <v>0.25</v>
      </c>
      <c r="E9" s="65">
        <v>0.2</v>
      </c>
      <c r="F9" s="17"/>
      <c r="G9" s="17"/>
      <c r="H9" s="17"/>
      <c r="I9" s="17"/>
      <c r="J9" s="1"/>
    </row>
    <row r="10" spans="1:10" x14ac:dyDescent="0.2">
      <c r="A10" s="19"/>
      <c r="B10" s="115"/>
      <c r="C10" s="2">
        <v>3</v>
      </c>
      <c r="D10" s="65">
        <v>0.3</v>
      </c>
      <c r="E10" s="65">
        <v>0.25</v>
      </c>
      <c r="F10" s="17"/>
      <c r="G10" s="17"/>
      <c r="H10" s="17"/>
      <c r="I10" s="17"/>
      <c r="J10" s="1"/>
    </row>
    <row r="11" spans="1:10" x14ac:dyDescent="0.2">
      <c r="A11" s="19"/>
      <c r="B11" s="115"/>
      <c r="C11" s="2">
        <v>4</v>
      </c>
      <c r="D11" s="65">
        <v>0.4</v>
      </c>
      <c r="E11" s="65">
        <v>0.35</v>
      </c>
      <c r="F11" s="17"/>
      <c r="G11" s="17"/>
      <c r="H11" s="17"/>
      <c r="I11" s="17"/>
      <c r="J11" s="1"/>
    </row>
    <row r="12" spans="1:10" x14ac:dyDescent="0.2">
      <c r="A12" s="19"/>
      <c r="B12" s="115"/>
      <c r="C12" s="2">
        <v>5</v>
      </c>
      <c r="D12" s="65">
        <v>0.45</v>
      </c>
      <c r="E12" s="65">
        <v>0.38</v>
      </c>
      <c r="F12" s="17"/>
      <c r="G12" s="17"/>
      <c r="H12" s="17"/>
      <c r="I12" s="17"/>
      <c r="J12" s="1"/>
    </row>
    <row r="13" spans="1:10" x14ac:dyDescent="0.2">
      <c r="A13" s="19"/>
      <c r="B13" s="115"/>
      <c r="C13" s="2">
        <v>6</v>
      </c>
      <c r="D13" s="65">
        <v>0.5</v>
      </c>
      <c r="E13" s="65">
        <v>0.45</v>
      </c>
      <c r="F13" s="17"/>
      <c r="G13" s="17"/>
      <c r="H13" s="17"/>
      <c r="I13" s="17"/>
      <c r="J13" s="1"/>
    </row>
    <row r="14" spans="1:10" x14ac:dyDescent="0.2">
      <c r="A14" s="19"/>
      <c r="B14" s="115"/>
      <c r="C14" s="2">
        <v>7</v>
      </c>
      <c r="D14" s="65" t="s">
        <v>411</v>
      </c>
      <c r="E14" s="65">
        <v>0.55000000000000004</v>
      </c>
      <c r="F14" s="17"/>
      <c r="G14" s="17"/>
      <c r="H14" s="17"/>
      <c r="I14" s="17"/>
      <c r="J14" s="1"/>
    </row>
    <row r="15" spans="1:10" x14ac:dyDescent="0.2">
      <c r="A15" s="19"/>
      <c r="B15" s="115"/>
      <c r="C15" s="2">
        <v>8</v>
      </c>
      <c r="D15" s="65">
        <v>0.65</v>
      </c>
      <c r="E15" s="65" t="s">
        <v>412</v>
      </c>
      <c r="F15" s="17"/>
      <c r="G15" s="17"/>
      <c r="H15" s="17"/>
      <c r="I15" s="17"/>
      <c r="J15" s="1"/>
    </row>
    <row r="16" spans="1:10" x14ac:dyDescent="0.2">
      <c r="A16" s="19"/>
      <c r="B16" s="115"/>
      <c r="C16" s="2">
        <v>9</v>
      </c>
      <c r="D16" s="65">
        <v>0.82</v>
      </c>
      <c r="E16" s="65">
        <v>0.75</v>
      </c>
      <c r="F16" s="17"/>
      <c r="G16" s="17"/>
      <c r="H16" s="17"/>
      <c r="I16" s="17"/>
      <c r="J16" s="1"/>
    </row>
    <row r="17" spans="1:10" x14ac:dyDescent="0.2">
      <c r="A17" s="19"/>
      <c r="B17" s="115"/>
      <c r="C17" s="2">
        <v>10</v>
      </c>
      <c r="D17" s="65">
        <v>0.93</v>
      </c>
      <c r="E17" s="65">
        <v>0.85</v>
      </c>
      <c r="F17" s="17"/>
      <c r="G17" s="17"/>
      <c r="H17" s="17"/>
      <c r="I17" s="17"/>
      <c r="J17" s="1"/>
    </row>
    <row r="18" spans="1:10" x14ac:dyDescent="0.2">
      <c r="A18" s="19"/>
      <c r="B18" s="115"/>
      <c r="C18" s="115"/>
      <c r="D18" s="115"/>
      <c r="E18" s="115"/>
      <c r="F18" s="17"/>
      <c r="G18" s="17"/>
      <c r="H18" s="17"/>
      <c r="I18" s="17"/>
      <c r="J18" s="1"/>
    </row>
    <row r="19" spans="1:10" x14ac:dyDescent="0.2">
      <c r="A19" s="19"/>
      <c r="B19" s="115" t="s">
        <v>410</v>
      </c>
      <c r="C19" s="115"/>
      <c r="D19" s="115"/>
      <c r="E19" s="115"/>
      <c r="F19" s="17"/>
      <c r="G19" s="17"/>
      <c r="H19" s="17"/>
      <c r="I19" s="17"/>
      <c r="J19" s="1"/>
    </row>
    <row r="20" spans="1:10" x14ac:dyDescent="0.2">
      <c r="A20" s="19"/>
      <c r="B20" s="17"/>
      <c r="C20" s="17"/>
      <c r="D20" s="17"/>
      <c r="E20" s="17"/>
      <c r="F20" s="17"/>
      <c r="G20" s="17"/>
      <c r="H20" s="17"/>
      <c r="I20" s="17"/>
      <c r="J20" s="1"/>
    </row>
    <row r="21" spans="1:10" x14ac:dyDescent="0.2">
      <c r="A21" s="19"/>
      <c r="B21" s="27" t="s">
        <v>344</v>
      </c>
      <c r="C21" s="97">
        <v>0.1</v>
      </c>
      <c r="D21" s="17" t="s">
        <v>427</v>
      </c>
      <c r="E21" s="17"/>
      <c r="F21" s="17"/>
      <c r="G21" s="17"/>
      <c r="H21" s="17"/>
      <c r="I21" s="17"/>
      <c r="J21" s="1"/>
    </row>
    <row r="22" spans="1:10" x14ac:dyDescent="0.2">
      <c r="A22" s="19"/>
      <c r="B22" s="17"/>
      <c r="C22" s="17"/>
      <c r="D22" s="17"/>
      <c r="E22" s="17"/>
      <c r="F22" s="17"/>
      <c r="G22" s="17"/>
      <c r="H22" s="17"/>
      <c r="I22" s="17"/>
      <c r="J22" s="1"/>
    </row>
    <row r="23" spans="1:10" x14ac:dyDescent="0.2">
      <c r="A23" s="19"/>
      <c r="B23" s="17" t="s">
        <v>10</v>
      </c>
      <c r="C23" s="17"/>
      <c r="D23" s="17"/>
      <c r="E23" s="17"/>
      <c r="F23" s="17"/>
      <c r="G23" s="17"/>
      <c r="H23" s="17"/>
      <c r="I23" s="17"/>
      <c r="J23" s="1"/>
    </row>
    <row r="24" spans="1:10" ht="17" thickBot="1" x14ac:dyDescent="0.25">
      <c r="A24" s="20"/>
      <c r="B24" s="6"/>
      <c r="C24" s="64"/>
      <c r="D24" s="64"/>
      <c r="E24" s="64"/>
      <c r="F24" s="6"/>
      <c r="G24" s="6"/>
      <c r="H24" s="6"/>
      <c r="I24" s="6"/>
      <c r="J24" s="7"/>
    </row>
    <row r="25" spans="1:10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10" ht="19" x14ac:dyDescent="0.25">
      <c r="A26" s="21" t="s">
        <v>3</v>
      </c>
      <c r="B26" s="4"/>
      <c r="C26" s="4"/>
      <c r="D26" s="4"/>
      <c r="E26" s="4"/>
      <c r="F26" s="4"/>
      <c r="G26" s="4"/>
      <c r="H26" s="4"/>
      <c r="I26" s="4"/>
    </row>
    <row r="27" spans="1:10" ht="19" x14ac:dyDescent="0.25">
      <c r="A27" s="21"/>
      <c r="B27" s="4"/>
      <c r="C27" s="4"/>
      <c r="D27" s="4"/>
      <c r="E27" s="4"/>
      <c r="F27" s="4"/>
      <c r="G27" s="4"/>
      <c r="H27" s="4"/>
      <c r="I27" s="4"/>
    </row>
    <row r="28" spans="1:10" x14ac:dyDescent="0.2">
      <c r="A28" s="22"/>
      <c r="B28" s="4" t="s">
        <v>404</v>
      </c>
      <c r="C28" s="23"/>
      <c r="D28" s="4"/>
      <c r="E28" s="4"/>
      <c r="F28" s="4"/>
      <c r="G28" s="4"/>
      <c r="H28" s="4"/>
      <c r="I28" s="4"/>
    </row>
    <row r="29" spans="1:10" x14ac:dyDescent="0.2">
      <c r="A29" s="4"/>
      <c r="B29" s="4" t="s">
        <v>405</v>
      </c>
      <c r="C29" s="4"/>
      <c r="D29" s="4"/>
      <c r="E29" s="4"/>
      <c r="F29" s="4"/>
      <c r="G29" s="4"/>
      <c r="H29" s="4"/>
      <c r="I29" s="4"/>
    </row>
    <row r="30" spans="1:10" x14ac:dyDescent="0.2">
      <c r="A30" s="4"/>
      <c r="B30" s="4" t="s">
        <v>406</v>
      </c>
      <c r="C30" s="4"/>
      <c r="D30" s="4"/>
      <c r="E30" s="4"/>
      <c r="F30" s="4"/>
      <c r="G30" s="4"/>
      <c r="H30" s="4"/>
      <c r="I30" s="4"/>
    </row>
    <row r="31" spans="1:10" s="118" customFormat="1" x14ac:dyDescent="0.2">
      <c r="A31" s="56"/>
      <c r="B31" s="116"/>
      <c r="C31" s="116"/>
      <c r="D31" s="116"/>
      <c r="E31" s="116"/>
      <c r="F31" s="117"/>
      <c r="G31" s="116"/>
      <c r="H31" s="54"/>
      <c r="I31" s="54"/>
      <c r="J31" s="56"/>
    </row>
    <row r="32" spans="1:10" s="118" customFormat="1" x14ac:dyDescent="0.2">
      <c r="A32" s="56"/>
      <c r="B32" s="119"/>
      <c r="C32" s="116"/>
      <c r="D32" s="56"/>
      <c r="E32" s="120"/>
      <c r="F32" s="121"/>
      <c r="G32" s="116"/>
      <c r="H32" s="54"/>
      <c r="I32" s="54"/>
      <c r="J32" s="56"/>
    </row>
    <row r="33" spans="1:10" s="118" customFormat="1" x14ac:dyDescent="0.2">
      <c r="A33" s="56"/>
      <c r="B33" s="122"/>
      <c r="C33" s="56"/>
      <c r="D33" s="56"/>
      <c r="E33" s="120"/>
      <c r="F33" s="123"/>
      <c r="G33" s="56"/>
      <c r="H33" s="54"/>
      <c r="I33" s="54"/>
      <c r="J33" s="56"/>
    </row>
    <row r="34" spans="1:10" s="118" customFormat="1" x14ac:dyDescent="0.2">
      <c r="A34" s="56"/>
      <c r="B34" s="122" t="s">
        <v>407</v>
      </c>
      <c r="C34" s="56"/>
      <c r="D34" s="56"/>
      <c r="E34" s="120"/>
      <c r="F34" s="123"/>
      <c r="G34" s="56"/>
      <c r="H34" s="54"/>
      <c r="I34" s="54"/>
    </row>
    <row r="35" spans="1:10" s="118" customFormat="1" x14ac:dyDescent="0.2">
      <c r="A35" s="56"/>
      <c r="B35" s="122" t="s">
        <v>408</v>
      </c>
      <c r="C35" s="56"/>
      <c r="D35" s="56"/>
      <c r="E35" s="120"/>
      <c r="F35" s="123"/>
      <c r="G35" s="56"/>
      <c r="H35" s="54"/>
      <c r="I35" s="54"/>
    </row>
    <row r="36" spans="1:10" s="118" customFormat="1" x14ac:dyDescent="0.2">
      <c r="A36" s="56"/>
      <c r="B36" s="122"/>
      <c r="C36" s="56"/>
      <c r="D36" s="56"/>
      <c r="E36" s="120"/>
      <c r="F36" s="123"/>
      <c r="G36" s="56"/>
      <c r="H36" s="54"/>
      <c r="I36" s="54"/>
      <c r="J36" s="56"/>
    </row>
    <row r="37" spans="1:10" s="118" customFormat="1" x14ac:dyDescent="0.2">
      <c r="A37" s="56"/>
      <c r="C37" s="125" t="s">
        <v>409</v>
      </c>
      <c r="D37" s="56" t="str">
        <f>TEXT(SUM(D8:D17)/10,"0.0%")&amp;" + 0.1X"</f>
        <v>44.0% + 0.1X</v>
      </c>
      <c r="E37" s="120"/>
      <c r="F37" s="123"/>
      <c r="G37" s="56"/>
      <c r="H37" s="56"/>
      <c r="I37" s="56"/>
    </row>
    <row r="38" spans="1:10" s="118" customFormat="1" x14ac:dyDescent="0.2">
      <c r="A38" s="56"/>
      <c r="B38" s="122"/>
      <c r="C38" s="56"/>
      <c r="D38" s="56"/>
      <c r="E38" s="120"/>
      <c r="F38" s="123"/>
      <c r="G38" s="56"/>
      <c r="H38" s="56"/>
      <c r="I38" s="56"/>
    </row>
    <row r="39" spans="1:10" s="118" customFormat="1" x14ac:dyDescent="0.2">
      <c r="A39" s="56"/>
      <c r="B39" s="122" t="s">
        <v>413</v>
      </c>
      <c r="C39" s="56"/>
      <c r="D39" s="56"/>
      <c r="E39" s="120"/>
      <c r="F39" s="123"/>
      <c r="G39" s="56"/>
      <c r="H39" s="56"/>
      <c r="I39" s="56"/>
    </row>
    <row r="40" spans="1:10" s="118" customFormat="1" x14ac:dyDescent="0.2">
      <c r="A40" s="124"/>
      <c r="B40" s="122"/>
      <c r="C40" s="56"/>
      <c r="D40" s="56"/>
      <c r="E40" s="120"/>
      <c r="F40" s="123"/>
      <c r="G40" s="56"/>
      <c r="H40" s="56"/>
      <c r="I40" s="56"/>
    </row>
    <row r="41" spans="1:10" s="118" customFormat="1" x14ac:dyDescent="0.2">
      <c r="A41" s="56"/>
      <c r="C41" s="125" t="s">
        <v>414</v>
      </c>
      <c r="D41" s="63">
        <f>0.435+0.1*0.5</f>
        <v>0.48499999999999999</v>
      </c>
      <c r="E41" s="120"/>
      <c r="F41" s="126" t="s">
        <v>416</v>
      </c>
      <c r="G41" s="127">
        <f>1.5*D41</f>
        <v>0.72750000000000004</v>
      </c>
      <c r="H41" s="56"/>
      <c r="I41" s="56"/>
    </row>
    <row r="42" spans="1:10" s="118" customFormat="1" x14ac:dyDescent="0.2">
      <c r="A42" s="56"/>
      <c r="C42" s="125" t="s">
        <v>415</v>
      </c>
      <c r="D42" s="63">
        <f>0.435+0.1*0.65</f>
        <v>0.5</v>
      </c>
      <c r="E42" s="120"/>
      <c r="F42" s="126" t="s">
        <v>416</v>
      </c>
      <c r="G42" s="128">
        <f>1.5*D42</f>
        <v>0.75</v>
      </c>
      <c r="H42" s="56"/>
      <c r="I42" s="56"/>
    </row>
    <row r="43" spans="1:10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10" x14ac:dyDescent="0.2">
      <c r="A44" s="4"/>
      <c r="B44" s="4" t="s">
        <v>417</v>
      </c>
      <c r="C44" s="4"/>
      <c r="D44" s="4"/>
      <c r="E44" s="4"/>
      <c r="F44" s="4"/>
      <c r="G44" s="4"/>
      <c r="H44" s="4"/>
      <c r="I44" s="4"/>
    </row>
    <row r="45" spans="1:10" x14ac:dyDescent="0.2">
      <c r="A45" s="22"/>
      <c r="B45" s="4"/>
      <c r="C45" s="23"/>
      <c r="D45" s="4"/>
      <c r="E45" s="4"/>
      <c r="F45" s="4"/>
      <c r="G45" s="4"/>
      <c r="H45" s="4"/>
      <c r="I45" s="4"/>
    </row>
    <row r="46" spans="1:10" x14ac:dyDescent="0.2">
      <c r="A46" s="4"/>
      <c r="B46" s="4" t="s">
        <v>418</v>
      </c>
      <c r="C46" s="4"/>
      <c r="D46" s="4"/>
      <c r="E46" s="4"/>
      <c r="F46" s="4"/>
      <c r="G46" s="4"/>
      <c r="H46" s="4"/>
      <c r="I46" s="4"/>
    </row>
    <row r="47" spans="1:10" x14ac:dyDescent="0.2">
      <c r="A47" s="4"/>
      <c r="B47" s="4"/>
      <c r="C47" s="4"/>
      <c r="D47" s="4"/>
      <c r="E47" s="4"/>
      <c r="F47" s="4"/>
      <c r="G47" s="4"/>
      <c r="H47" s="4"/>
      <c r="I47" s="4"/>
    </row>
    <row r="48" spans="1:10" x14ac:dyDescent="0.2">
      <c r="A48" s="4"/>
      <c r="B48" s="98" t="s">
        <v>419</v>
      </c>
      <c r="C48" s="4" t="s">
        <v>420</v>
      </c>
      <c r="D48" s="4"/>
      <c r="E48" s="4"/>
      <c r="F48" s="4"/>
      <c r="G48" s="4"/>
      <c r="H48" s="4"/>
      <c r="I48" s="4"/>
    </row>
    <row r="49" spans="1:9" x14ac:dyDescent="0.2">
      <c r="A49" s="4"/>
      <c r="B49" s="4"/>
      <c r="C49" s="4"/>
      <c r="D49" s="4"/>
      <c r="E49" s="4"/>
      <c r="F49" s="4"/>
      <c r="G49" s="4"/>
      <c r="H49" s="4"/>
      <c r="I49" s="4"/>
    </row>
    <row r="50" spans="1:9" x14ac:dyDescent="0.2">
      <c r="A50" s="4"/>
      <c r="B50" s="98" t="s">
        <v>421</v>
      </c>
      <c r="C50" s="45">
        <f>(0.82+0.93)/(0.03*10+1.6+1.6)</f>
        <v>0.5</v>
      </c>
      <c r="D50" s="4"/>
      <c r="E50" s="4"/>
      <c r="F50" s="4"/>
      <c r="G50" s="4"/>
      <c r="H50" s="4"/>
      <c r="I50" s="4"/>
    </row>
    <row r="51" spans="1:9" x14ac:dyDescent="0.2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4"/>
      <c r="B52" s="183" t="s">
        <v>468</v>
      </c>
      <c r="C52" s="4"/>
      <c r="D52" s="4"/>
      <c r="E52" s="4"/>
      <c r="F52" s="4"/>
      <c r="G52" s="4"/>
      <c r="H52" s="4"/>
      <c r="I52" s="4"/>
    </row>
    <row r="53" spans="1:9" x14ac:dyDescent="0.2">
      <c r="A53" s="4"/>
      <c r="B53" s="8" t="s">
        <v>469</v>
      </c>
      <c r="C53" s="4"/>
      <c r="D53" s="4"/>
      <c r="E53" s="4"/>
      <c r="F53" s="4"/>
      <c r="G53" s="4"/>
      <c r="H53" s="4"/>
      <c r="I53" s="4"/>
    </row>
    <row r="54" spans="1:9" x14ac:dyDescent="0.2">
      <c r="A54" s="4"/>
      <c r="B54" s="98"/>
      <c r="C54" s="42"/>
      <c r="D54" s="4"/>
      <c r="E54" s="4"/>
      <c r="F54" s="4"/>
      <c r="G54" s="4"/>
      <c r="H54" s="4"/>
      <c r="I54" s="4"/>
    </row>
    <row r="55" spans="1:9" x14ac:dyDescent="0.2">
      <c r="A55" s="4"/>
      <c r="B55" s="4" t="s">
        <v>1</v>
      </c>
      <c r="C55" s="4"/>
      <c r="D55" s="4"/>
      <c r="E55" s="4"/>
      <c r="F55" s="4"/>
      <c r="G55" s="4"/>
      <c r="H55" s="4"/>
      <c r="I55" s="4"/>
    </row>
    <row r="56" spans="1:9" x14ac:dyDescent="0.2">
      <c r="A56" s="4"/>
      <c r="B56" s="4" t="s">
        <v>428</v>
      </c>
      <c r="C56" s="4"/>
      <c r="D56" s="4"/>
      <c r="E56" s="4"/>
      <c r="F56" s="4"/>
      <c r="G56" s="4"/>
      <c r="H56" s="4"/>
      <c r="I56" s="4"/>
    </row>
    <row r="57" spans="1:9" x14ac:dyDescent="0.2">
      <c r="A57" s="4"/>
      <c r="B57" s="4"/>
      <c r="C57" s="4"/>
      <c r="D57" s="4"/>
      <c r="E57" s="4"/>
      <c r="F57" s="4"/>
      <c r="G57" s="4"/>
      <c r="H57" s="4"/>
      <c r="I57" s="4"/>
    </row>
    <row r="58" spans="1:9" x14ac:dyDescent="0.2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2">
      <c r="A59" s="4"/>
      <c r="B59" s="98"/>
      <c r="C59" s="4"/>
      <c r="D59" s="4"/>
      <c r="E59" s="4"/>
      <c r="F59" s="4"/>
      <c r="G59" s="4"/>
      <c r="H59" s="4"/>
      <c r="I59" s="4"/>
    </row>
    <row r="60" spans="1:9" x14ac:dyDescent="0.2">
      <c r="A60" s="4"/>
      <c r="B60" s="4"/>
      <c r="C60" s="4"/>
      <c r="D60" s="4"/>
      <c r="E60" s="4"/>
      <c r="F60" s="4"/>
      <c r="G60" s="4"/>
      <c r="H60" s="4"/>
      <c r="I60" s="4"/>
    </row>
    <row r="61" spans="1:9" ht="18" x14ac:dyDescent="0.25">
      <c r="A61" s="4"/>
      <c r="B61" s="4" t="s">
        <v>422</v>
      </c>
      <c r="C61" s="4"/>
      <c r="D61" s="4"/>
      <c r="E61" s="4"/>
      <c r="F61" s="4"/>
      <c r="G61" s="4"/>
      <c r="H61" s="4"/>
      <c r="I61" s="4"/>
    </row>
    <row r="62" spans="1:9" x14ac:dyDescent="0.2">
      <c r="A62" s="4"/>
      <c r="B62" s="98"/>
      <c r="C62" s="42"/>
      <c r="D62" s="4"/>
      <c r="E62" s="4"/>
      <c r="F62" s="4"/>
      <c r="G62" s="4"/>
      <c r="H62" s="4"/>
      <c r="I62" s="4"/>
    </row>
    <row r="63" spans="1:9" ht="18" x14ac:dyDescent="0.25">
      <c r="A63" s="4"/>
      <c r="B63" s="98" t="s">
        <v>423</v>
      </c>
      <c r="C63" s="45">
        <f>(1-C21)*C50</f>
        <v>0.45</v>
      </c>
      <c r="D63" s="4"/>
      <c r="E63" s="4"/>
      <c r="F63" s="4"/>
      <c r="G63" s="4"/>
      <c r="H63" s="4"/>
      <c r="I63" s="4"/>
    </row>
    <row r="64" spans="1:9" x14ac:dyDescent="0.2">
      <c r="A64" s="4"/>
      <c r="B64" s="26"/>
      <c r="C64" s="4"/>
      <c r="D64" s="4"/>
      <c r="E64" s="4"/>
      <c r="F64" s="4"/>
      <c r="G64" s="4"/>
      <c r="H64" s="4"/>
      <c r="I64" s="4"/>
    </row>
    <row r="65" spans="1:52" x14ac:dyDescent="0.2">
      <c r="A65" s="4"/>
      <c r="B65" s="4" t="s">
        <v>424</v>
      </c>
      <c r="C65" s="4"/>
      <c r="D65" s="4"/>
      <c r="E65" s="4"/>
      <c r="F65" s="4"/>
      <c r="G65" s="4"/>
      <c r="H65" s="4"/>
      <c r="I65" s="4"/>
    </row>
    <row r="66" spans="1:52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52" x14ac:dyDescent="0.2">
      <c r="A67" s="4"/>
      <c r="B67" s="206" t="s">
        <v>470</v>
      </c>
      <c r="C67" s="207">
        <f>(C63-0.386)/0.1</f>
        <v>0.64</v>
      </c>
      <c r="D67" s="4"/>
      <c r="E67" s="4"/>
      <c r="F67" s="4"/>
      <c r="G67" s="4"/>
      <c r="H67" s="4"/>
      <c r="I67" s="4"/>
    </row>
    <row r="68" spans="1:52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52" x14ac:dyDescent="0.2">
      <c r="A69" s="8" t="s">
        <v>5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x14ac:dyDescent="0.2">
      <c r="A70" s="4" t="s">
        <v>425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x14ac:dyDescent="0.2">
      <c r="A71" s="4" t="s">
        <v>426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x14ac:dyDescent="0.2">
      <c r="A72" s="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x14ac:dyDescent="0.2">
      <c r="A73" s="4" t="s">
        <v>429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x14ac:dyDescent="0.2">
      <c r="A74" s="4" t="s">
        <v>430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x14ac:dyDescent="0.2">
      <c r="A75" s="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x14ac:dyDescent="0.2">
      <c r="A76" s="8" t="s">
        <v>6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x14ac:dyDescent="0.2">
      <c r="A77" s="4" t="s">
        <v>332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x14ac:dyDescent="0.2">
      <c r="A78" s="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x14ac:dyDescent="0.2">
      <c r="A80" s="11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x14ac:dyDescent="0.2">
      <c r="A81" s="11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AE7EE-04BE-3E4E-8672-9866EFF35FE4}">
  <dimension ref="A1:BN200"/>
  <sheetViews>
    <sheetView showGridLines="0" zoomScale="120" zoomScaleNormal="120" workbookViewId="0"/>
  </sheetViews>
  <sheetFormatPr baseColWidth="10" defaultRowHeight="16" x14ac:dyDescent="0.2"/>
  <cols>
    <col min="1" max="12" width="10.83203125" style="18"/>
    <col min="13" max="13" width="23.6640625" style="18" bestFit="1" customWidth="1"/>
    <col min="14" max="16384" width="10.83203125" style="18"/>
  </cols>
  <sheetData>
    <row r="1" spans="1:10" ht="19" x14ac:dyDescent="0.25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"/>
    </row>
    <row r="2" spans="1:10" x14ac:dyDescent="0.2">
      <c r="A2" s="19"/>
      <c r="B2" s="17"/>
      <c r="C2" s="17"/>
      <c r="D2" s="17"/>
      <c r="E2" s="17"/>
      <c r="F2" s="17"/>
      <c r="G2" s="17"/>
      <c r="H2" s="17"/>
      <c r="I2" s="17"/>
      <c r="J2" s="1"/>
    </row>
    <row r="3" spans="1:10" ht="19" x14ac:dyDescent="0.25">
      <c r="A3" s="19"/>
      <c r="B3" s="136" t="s">
        <v>8</v>
      </c>
      <c r="C3" s="17"/>
      <c r="D3" s="17"/>
      <c r="E3" s="17"/>
      <c r="F3" s="17"/>
      <c r="G3" s="17"/>
      <c r="H3" s="17"/>
      <c r="I3" s="17"/>
      <c r="J3" s="1"/>
    </row>
    <row r="4" spans="1:10" x14ac:dyDescent="0.2">
      <c r="A4" s="19"/>
      <c r="B4" s="17" t="s">
        <v>50</v>
      </c>
      <c r="C4" s="17"/>
      <c r="D4" s="17"/>
      <c r="E4" s="17"/>
      <c r="F4" s="17"/>
      <c r="G4" s="17"/>
      <c r="H4" s="17"/>
      <c r="I4" s="17"/>
      <c r="J4" s="1"/>
    </row>
    <row r="5" spans="1:10" x14ac:dyDescent="0.2">
      <c r="A5" s="19"/>
      <c r="B5" s="17"/>
      <c r="C5" s="17"/>
      <c r="D5" s="17"/>
      <c r="E5" s="17"/>
      <c r="F5" s="17"/>
      <c r="G5" s="17"/>
      <c r="H5" s="17"/>
      <c r="I5" s="17"/>
      <c r="J5" s="1"/>
    </row>
    <row r="6" spans="1:10" ht="51" x14ac:dyDescent="0.2">
      <c r="A6" s="19"/>
      <c r="B6" s="17"/>
      <c r="C6" s="3" t="s">
        <v>51</v>
      </c>
      <c r="D6" s="130" t="s">
        <v>52</v>
      </c>
      <c r="E6" s="130" t="s">
        <v>53</v>
      </c>
      <c r="F6" s="137" t="s">
        <v>54</v>
      </c>
      <c r="G6" s="17"/>
      <c r="H6" s="17"/>
      <c r="I6" s="17"/>
      <c r="J6" s="1"/>
    </row>
    <row r="7" spans="1:10" x14ac:dyDescent="0.2">
      <c r="A7" s="19"/>
      <c r="B7" s="17"/>
      <c r="C7" s="2">
        <v>1</v>
      </c>
      <c r="D7" s="180">
        <v>0.56999999999999995</v>
      </c>
      <c r="E7" s="179">
        <v>0.94</v>
      </c>
      <c r="F7" s="60">
        <v>0.9</v>
      </c>
      <c r="G7" s="17"/>
      <c r="H7" s="17"/>
      <c r="I7" s="17"/>
      <c r="J7" s="1"/>
    </row>
    <row r="8" spans="1:10" x14ac:dyDescent="0.2">
      <c r="A8" s="19"/>
      <c r="B8" s="17"/>
      <c r="C8" s="2">
        <v>2</v>
      </c>
      <c r="D8" s="180">
        <v>0.64</v>
      </c>
      <c r="E8" s="179">
        <v>1.05</v>
      </c>
      <c r="F8" s="60">
        <v>1</v>
      </c>
      <c r="G8" s="17"/>
      <c r="H8" s="17"/>
      <c r="I8" s="17"/>
      <c r="J8" s="1"/>
    </row>
    <row r="9" spans="1:10" x14ac:dyDescent="0.2">
      <c r="A9" s="19"/>
      <c r="B9" s="17"/>
      <c r="C9" s="2">
        <v>3</v>
      </c>
      <c r="D9" s="180">
        <v>0.82</v>
      </c>
      <c r="E9" s="179">
        <v>1.3</v>
      </c>
      <c r="F9" s="60">
        <v>1.28</v>
      </c>
      <c r="G9" s="17"/>
      <c r="H9" s="17"/>
      <c r="I9" s="17"/>
      <c r="J9" s="1"/>
    </row>
    <row r="10" spans="1:10" x14ac:dyDescent="0.2">
      <c r="A10" s="19"/>
      <c r="B10" s="17"/>
      <c r="C10" s="2">
        <v>4</v>
      </c>
      <c r="D10" s="180">
        <v>0.4</v>
      </c>
      <c r="E10" s="179">
        <v>0.65</v>
      </c>
      <c r="F10" s="60">
        <v>0.7</v>
      </c>
      <c r="G10" s="17"/>
      <c r="H10" s="17"/>
      <c r="I10" s="17"/>
      <c r="J10" s="1"/>
    </row>
    <row r="11" spans="1:10" x14ac:dyDescent="0.2">
      <c r="A11" s="19"/>
      <c r="B11" s="17"/>
      <c r="C11" s="2">
        <v>5</v>
      </c>
      <c r="D11" s="180">
        <v>0.55000000000000004</v>
      </c>
      <c r="E11" s="179">
        <v>0.89</v>
      </c>
      <c r="F11" s="60">
        <v>0.94</v>
      </c>
      <c r="G11" s="17"/>
      <c r="H11" s="17"/>
      <c r="I11" s="17"/>
      <c r="J11" s="1"/>
    </row>
    <row r="12" spans="1:10" x14ac:dyDescent="0.2">
      <c r="A12" s="19"/>
      <c r="B12" s="17"/>
      <c r="C12" s="2">
        <v>6</v>
      </c>
      <c r="D12" s="180">
        <v>0.48</v>
      </c>
      <c r="E12" s="179">
        <v>0.77</v>
      </c>
      <c r="F12" s="60">
        <v>0.75</v>
      </c>
      <c r="G12" s="17"/>
      <c r="H12" s="17"/>
      <c r="I12" s="17"/>
      <c r="J12" s="1"/>
    </row>
    <row r="13" spans="1:10" x14ac:dyDescent="0.2">
      <c r="A13" s="19"/>
      <c r="B13" s="17"/>
      <c r="C13" s="2">
        <v>7</v>
      </c>
      <c r="D13" s="180">
        <v>0.74</v>
      </c>
      <c r="E13" s="179">
        <v>1.19</v>
      </c>
      <c r="F13" s="60">
        <v>1.19</v>
      </c>
      <c r="G13" s="17"/>
      <c r="H13" s="17"/>
      <c r="I13" s="17"/>
      <c r="J13" s="1"/>
    </row>
    <row r="14" spans="1:10" x14ac:dyDescent="0.2">
      <c r="A14" s="19"/>
      <c r="B14" s="17"/>
      <c r="C14" s="2">
        <v>8</v>
      </c>
      <c r="D14" s="180">
        <v>0.68</v>
      </c>
      <c r="E14" s="179">
        <v>1.1000000000000001</v>
      </c>
      <c r="F14" s="60">
        <v>1.1499999999999999</v>
      </c>
      <c r="G14" s="17"/>
      <c r="H14" s="17"/>
      <c r="I14" s="17"/>
      <c r="J14" s="1"/>
    </row>
    <row r="15" spans="1:10" x14ac:dyDescent="0.2">
      <c r="A15" s="19"/>
      <c r="B15" s="17"/>
      <c r="C15" s="2">
        <v>9</v>
      </c>
      <c r="D15" s="180">
        <v>0.72</v>
      </c>
      <c r="E15" s="179">
        <v>1.1599999999999999</v>
      </c>
      <c r="F15" s="60">
        <v>1.08</v>
      </c>
      <c r="G15" s="17"/>
      <c r="H15" s="17"/>
      <c r="I15" s="17"/>
      <c r="J15" s="1"/>
    </row>
    <row r="16" spans="1:10" x14ac:dyDescent="0.2">
      <c r="A16" s="19"/>
      <c r="B16" s="17"/>
      <c r="C16" s="2">
        <v>10</v>
      </c>
      <c r="D16" s="180">
        <v>0.47</v>
      </c>
      <c r="E16" s="179">
        <v>0.76</v>
      </c>
      <c r="F16" s="60">
        <v>0.85</v>
      </c>
      <c r="G16" s="17"/>
      <c r="H16" s="17"/>
      <c r="I16" s="17"/>
      <c r="J16" s="1"/>
    </row>
    <row r="17" spans="1:12" x14ac:dyDescent="0.2">
      <c r="A17" s="19"/>
      <c r="B17" s="17"/>
      <c r="C17" s="2">
        <v>11</v>
      </c>
      <c r="D17" s="180">
        <v>0.44</v>
      </c>
      <c r="E17" s="179">
        <v>0.71</v>
      </c>
      <c r="F17" s="60">
        <v>0.77</v>
      </c>
      <c r="G17" s="17"/>
      <c r="H17" s="17"/>
      <c r="I17" s="17"/>
      <c r="J17" s="1"/>
    </row>
    <row r="18" spans="1:12" x14ac:dyDescent="0.2">
      <c r="A18" s="19"/>
      <c r="B18" s="17"/>
      <c r="C18" s="2">
        <v>12</v>
      </c>
      <c r="D18" s="180">
        <v>0.56000000000000005</v>
      </c>
      <c r="E18" s="179">
        <v>0.9</v>
      </c>
      <c r="F18" s="60">
        <v>0.98</v>
      </c>
      <c r="G18" s="17"/>
      <c r="H18" s="17"/>
      <c r="I18" s="17"/>
      <c r="J18" s="1"/>
    </row>
    <row r="19" spans="1:12" x14ac:dyDescent="0.2">
      <c r="A19" s="19"/>
      <c r="B19" s="17"/>
      <c r="C19" s="2">
        <v>13</v>
      </c>
      <c r="D19" s="180">
        <v>0.6</v>
      </c>
      <c r="E19" s="179">
        <v>0.96</v>
      </c>
      <c r="F19" s="60">
        <v>0.95</v>
      </c>
      <c r="G19" s="17"/>
      <c r="H19" s="17"/>
      <c r="I19" s="17"/>
      <c r="J19" s="1"/>
    </row>
    <row r="20" spans="1:12" x14ac:dyDescent="0.2">
      <c r="A20" s="19"/>
      <c r="B20" s="17"/>
      <c r="C20" s="2">
        <v>14</v>
      </c>
      <c r="D20" s="180">
        <v>0.78</v>
      </c>
      <c r="E20" s="179">
        <v>1.25</v>
      </c>
      <c r="F20" s="60">
        <v>1.3</v>
      </c>
      <c r="G20" s="17"/>
      <c r="H20" s="17"/>
      <c r="I20" s="17"/>
      <c r="J20" s="1"/>
    </row>
    <row r="21" spans="1:12" x14ac:dyDescent="0.2">
      <c r="A21" s="19"/>
      <c r="B21" s="17"/>
      <c r="C21" s="2">
        <v>15</v>
      </c>
      <c r="D21" s="180">
        <v>0.85</v>
      </c>
      <c r="E21" s="179">
        <v>1.37</v>
      </c>
      <c r="F21" s="60">
        <v>1.32</v>
      </c>
      <c r="G21" s="17"/>
      <c r="H21" s="17"/>
      <c r="I21" s="17"/>
      <c r="J21" s="1"/>
    </row>
    <row r="22" spans="1:12" x14ac:dyDescent="0.2">
      <c r="A22" s="19"/>
      <c r="B22" s="17"/>
      <c r="C22" s="17"/>
      <c r="D22" s="17"/>
      <c r="E22" s="17"/>
      <c r="F22" s="17"/>
      <c r="G22" s="17"/>
      <c r="H22" s="17"/>
      <c r="I22" s="17"/>
      <c r="J22" s="1"/>
    </row>
    <row r="23" spans="1:12" x14ac:dyDescent="0.2">
      <c r="A23" s="19"/>
      <c r="B23" s="17" t="s">
        <v>56</v>
      </c>
      <c r="C23" s="17"/>
      <c r="D23" s="17"/>
      <c r="E23" s="17"/>
      <c r="F23" s="17"/>
      <c r="G23" s="17"/>
      <c r="H23" s="17"/>
      <c r="I23" s="17"/>
      <c r="J23" s="1"/>
    </row>
    <row r="24" spans="1:12" x14ac:dyDescent="0.2">
      <c r="A24" s="19"/>
      <c r="B24" s="17"/>
      <c r="C24" s="17"/>
      <c r="D24" s="17"/>
      <c r="E24" s="17"/>
      <c r="F24" s="17"/>
      <c r="G24" s="17"/>
      <c r="H24" s="17"/>
      <c r="I24" s="17"/>
      <c r="J24" s="1"/>
    </row>
    <row r="25" spans="1:12" x14ac:dyDescent="0.2">
      <c r="A25" s="19"/>
      <c r="B25" s="17" t="s">
        <v>55</v>
      </c>
      <c r="C25" s="17"/>
      <c r="D25" s="17"/>
      <c r="E25" s="17"/>
      <c r="F25" s="17"/>
      <c r="G25" s="17"/>
      <c r="H25" s="17"/>
      <c r="I25" s="17"/>
      <c r="J25" s="1"/>
    </row>
    <row r="26" spans="1:12" ht="17" thickBot="1" x14ac:dyDescent="0.25">
      <c r="A26" s="20"/>
      <c r="B26" s="6"/>
      <c r="C26" s="64"/>
      <c r="D26" s="64"/>
      <c r="E26" s="64"/>
      <c r="F26" s="6"/>
      <c r="G26" s="6"/>
      <c r="H26" s="6"/>
      <c r="I26" s="6"/>
      <c r="J26" s="7"/>
    </row>
    <row r="27" spans="1:12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12" ht="19" x14ac:dyDescent="0.25">
      <c r="A28" s="21" t="s">
        <v>3</v>
      </c>
      <c r="B28" s="4"/>
      <c r="C28" s="4"/>
      <c r="D28" s="4"/>
      <c r="E28" s="4"/>
      <c r="F28" s="4"/>
      <c r="G28" s="4"/>
      <c r="H28" s="4"/>
      <c r="I28" s="4"/>
    </row>
    <row r="29" spans="1:12" x14ac:dyDescent="0.2">
      <c r="A29" s="22"/>
      <c r="B29" s="4"/>
      <c r="C29" s="23"/>
      <c r="D29" s="4"/>
      <c r="E29" s="4"/>
      <c r="F29" s="4"/>
      <c r="G29" s="4"/>
      <c r="H29" s="4"/>
      <c r="I29" s="4"/>
    </row>
    <row r="30" spans="1:12" x14ac:dyDescent="0.2">
      <c r="A30" s="4"/>
      <c r="B30" s="4" t="s">
        <v>57</v>
      </c>
      <c r="C30" s="4"/>
      <c r="D30" s="4"/>
      <c r="E30" s="4"/>
      <c r="F30" s="4"/>
      <c r="G30" s="4"/>
      <c r="H30" s="4"/>
      <c r="I30" s="4"/>
    </row>
    <row r="31" spans="1:12" x14ac:dyDescent="0.2">
      <c r="A31" s="4"/>
      <c r="B31" s="4"/>
      <c r="C31" s="4"/>
      <c r="D31" s="4"/>
      <c r="E31" s="4"/>
      <c r="F31" s="4"/>
      <c r="G31" s="4"/>
      <c r="H31" s="4"/>
      <c r="I31" s="4"/>
      <c r="L31" s="24"/>
    </row>
    <row r="32" spans="1:12" x14ac:dyDescent="0.2">
      <c r="A32" s="4"/>
      <c r="B32" s="218" t="s">
        <v>445</v>
      </c>
      <c r="C32" s="219"/>
      <c r="D32" s="219"/>
      <c r="E32" s="219"/>
      <c r="F32" s="219"/>
      <c r="G32" s="219"/>
      <c r="H32" s="219"/>
      <c r="I32" s="219"/>
      <c r="L32" s="24"/>
    </row>
    <row r="33" spans="1:13" x14ac:dyDescent="0.2">
      <c r="A33" s="4"/>
      <c r="B33" s="219"/>
      <c r="C33" s="219"/>
      <c r="D33" s="219"/>
      <c r="E33" s="219"/>
      <c r="F33" s="219"/>
      <c r="G33" s="219"/>
      <c r="H33" s="219"/>
      <c r="I33" s="219"/>
      <c r="L33" s="24"/>
    </row>
    <row r="34" spans="1:13" x14ac:dyDescent="0.2">
      <c r="A34" s="4"/>
      <c r="B34" s="219"/>
      <c r="C34" s="219"/>
      <c r="D34" s="219"/>
      <c r="E34" s="219"/>
      <c r="F34" s="219"/>
      <c r="G34" s="219"/>
      <c r="H34" s="219"/>
      <c r="I34" s="219"/>
      <c r="L34" s="24"/>
    </row>
    <row r="35" spans="1:13" x14ac:dyDescent="0.2">
      <c r="A35" s="4"/>
      <c r="B35" s="4"/>
      <c r="C35" s="4"/>
      <c r="D35" s="4"/>
      <c r="E35" s="4"/>
      <c r="F35" s="4"/>
      <c r="G35" s="4"/>
      <c r="H35" s="4"/>
      <c r="I35" s="4"/>
      <c r="L35" s="24"/>
    </row>
    <row r="36" spans="1:13" ht="51" x14ac:dyDescent="0.2">
      <c r="A36" s="4"/>
      <c r="B36" s="4"/>
      <c r="C36" s="165" t="s">
        <v>51</v>
      </c>
      <c r="D36" s="162" t="s">
        <v>52</v>
      </c>
      <c r="E36" s="162" t="s">
        <v>53</v>
      </c>
      <c r="F36" s="150" t="s">
        <v>13</v>
      </c>
      <c r="G36" s="147" t="s">
        <v>59</v>
      </c>
      <c r="H36" s="4"/>
      <c r="I36" s="4"/>
      <c r="J36" s="4"/>
      <c r="M36" s="24"/>
    </row>
    <row r="37" spans="1:13" x14ac:dyDescent="0.2">
      <c r="A37" s="4"/>
      <c r="B37" s="4"/>
      <c r="C37" s="166">
        <v>1</v>
      </c>
      <c r="D37" s="164">
        <f t="shared" ref="D37:E51" si="0">D7</f>
        <v>0.56999999999999995</v>
      </c>
      <c r="E37" s="163">
        <f t="shared" si="0"/>
        <v>0.94</v>
      </c>
      <c r="F37" s="43">
        <f>ROUNDUP(RANK(E37,E$37:E$51,1)/3,0)</f>
        <v>3</v>
      </c>
      <c r="G37" s="45">
        <f>D37/E37</f>
        <v>0.60638297872340419</v>
      </c>
      <c r="H37" s="4"/>
      <c r="I37" s="4"/>
      <c r="J37" s="4"/>
      <c r="M37" s="24"/>
    </row>
    <row r="38" spans="1:13" x14ac:dyDescent="0.2">
      <c r="A38" s="4"/>
      <c r="B38" s="4"/>
      <c r="C38" s="166">
        <v>2</v>
      </c>
      <c r="D38" s="164">
        <f t="shared" si="0"/>
        <v>0.64</v>
      </c>
      <c r="E38" s="163">
        <f t="shared" si="0"/>
        <v>1.05</v>
      </c>
      <c r="F38" s="43">
        <f t="shared" ref="F38:F51" si="1">ROUNDUP(RANK(E38,E$37:E$51,1)/3,0)</f>
        <v>3</v>
      </c>
      <c r="G38" s="45">
        <f t="shared" ref="G38:G51" si="2">D38/E38</f>
        <v>0.60952380952380947</v>
      </c>
      <c r="H38" s="4"/>
      <c r="I38" s="4"/>
      <c r="J38" s="4"/>
      <c r="M38" s="24"/>
    </row>
    <row r="39" spans="1:13" x14ac:dyDescent="0.2">
      <c r="A39" s="4"/>
      <c r="B39" s="4"/>
      <c r="C39" s="166">
        <v>3</v>
      </c>
      <c r="D39" s="164">
        <f t="shared" si="0"/>
        <v>0.82</v>
      </c>
      <c r="E39" s="163">
        <f t="shared" si="0"/>
        <v>1.3</v>
      </c>
      <c r="F39" s="43">
        <f t="shared" si="1"/>
        <v>5</v>
      </c>
      <c r="G39" s="45">
        <f t="shared" si="2"/>
        <v>0.63076923076923075</v>
      </c>
      <c r="H39" s="4"/>
      <c r="I39" s="4"/>
      <c r="J39" s="4"/>
      <c r="M39" s="24"/>
    </row>
    <row r="40" spans="1:13" x14ac:dyDescent="0.2">
      <c r="A40" s="4"/>
      <c r="B40" s="4"/>
      <c r="C40" s="166">
        <v>4</v>
      </c>
      <c r="D40" s="164">
        <f t="shared" si="0"/>
        <v>0.4</v>
      </c>
      <c r="E40" s="163">
        <f t="shared" si="0"/>
        <v>0.65</v>
      </c>
      <c r="F40" s="43">
        <f t="shared" si="1"/>
        <v>1</v>
      </c>
      <c r="G40" s="45">
        <f t="shared" si="2"/>
        <v>0.61538461538461542</v>
      </c>
      <c r="H40" s="4"/>
      <c r="I40" s="4"/>
      <c r="J40" s="4"/>
      <c r="M40" s="24"/>
    </row>
    <row r="41" spans="1:13" x14ac:dyDescent="0.2">
      <c r="A41" s="4"/>
      <c r="B41" s="4"/>
      <c r="C41" s="166">
        <v>5</v>
      </c>
      <c r="D41" s="164">
        <f t="shared" si="0"/>
        <v>0.55000000000000004</v>
      </c>
      <c r="E41" s="163">
        <f t="shared" si="0"/>
        <v>0.89</v>
      </c>
      <c r="F41" s="43">
        <f t="shared" si="1"/>
        <v>2</v>
      </c>
      <c r="G41" s="45">
        <f t="shared" si="2"/>
        <v>0.61797752808988771</v>
      </c>
      <c r="H41" s="4"/>
      <c r="I41" s="4"/>
      <c r="J41" s="4"/>
      <c r="M41" s="24"/>
    </row>
    <row r="42" spans="1:13" x14ac:dyDescent="0.2">
      <c r="A42" s="22"/>
      <c r="B42" s="22"/>
      <c r="C42" s="166">
        <v>6</v>
      </c>
      <c r="D42" s="164">
        <f t="shared" si="0"/>
        <v>0.48</v>
      </c>
      <c r="E42" s="163">
        <f t="shared" si="0"/>
        <v>0.77</v>
      </c>
      <c r="F42" s="43">
        <f t="shared" si="1"/>
        <v>2</v>
      </c>
      <c r="G42" s="45">
        <f t="shared" si="2"/>
        <v>0.62337662337662336</v>
      </c>
      <c r="H42" s="4"/>
      <c r="I42" s="4"/>
      <c r="J42" s="4"/>
    </row>
    <row r="43" spans="1:13" x14ac:dyDescent="0.2">
      <c r="A43" s="4"/>
      <c r="B43" s="4"/>
      <c r="C43" s="166">
        <v>7</v>
      </c>
      <c r="D43" s="164">
        <f t="shared" si="0"/>
        <v>0.74</v>
      </c>
      <c r="E43" s="163">
        <f t="shared" si="0"/>
        <v>1.19</v>
      </c>
      <c r="F43" s="43">
        <f t="shared" si="1"/>
        <v>4</v>
      </c>
      <c r="G43" s="45">
        <f t="shared" si="2"/>
        <v>0.62184873949579833</v>
      </c>
      <c r="H43" s="4"/>
      <c r="I43" s="4"/>
      <c r="J43" s="4"/>
    </row>
    <row r="44" spans="1:13" x14ac:dyDescent="0.2">
      <c r="A44" s="4"/>
      <c r="B44" s="4"/>
      <c r="C44" s="166">
        <v>8</v>
      </c>
      <c r="D44" s="164">
        <f t="shared" si="0"/>
        <v>0.68</v>
      </c>
      <c r="E44" s="163">
        <f t="shared" si="0"/>
        <v>1.1000000000000001</v>
      </c>
      <c r="F44" s="43">
        <f t="shared" si="1"/>
        <v>4</v>
      </c>
      <c r="G44" s="45">
        <f t="shared" si="2"/>
        <v>0.61818181818181817</v>
      </c>
      <c r="H44" s="4"/>
      <c r="I44" s="4"/>
      <c r="J44" s="4"/>
    </row>
    <row r="45" spans="1:13" x14ac:dyDescent="0.2">
      <c r="A45" s="4"/>
      <c r="B45" s="4"/>
      <c r="C45" s="166">
        <v>9</v>
      </c>
      <c r="D45" s="164">
        <f t="shared" si="0"/>
        <v>0.72</v>
      </c>
      <c r="E45" s="163">
        <f t="shared" si="0"/>
        <v>1.1599999999999999</v>
      </c>
      <c r="F45" s="43">
        <f t="shared" si="1"/>
        <v>4</v>
      </c>
      <c r="G45" s="45">
        <f t="shared" si="2"/>
        <v>0.62068965517241381</v>
      </c>
      <c r="H45" s="4"/>
      <c r="I45" s="4"/>
      <c r="J45" s="4"/>
    </row>
    <row r="46" spans="1:13" x14ac:dyDescent="0.2">
      <c r="A46" s="4"/>
      <c r="B46" s="4"/>
      <c r="C46" s="166">
        <v>10</v>
      </c>
      <c r="D46" s="164">
        <f t="shared" si="0"/>
        <v>0.47</v>
      </c>
      <c r="E46" s="163">
        <f t="shared" si="0"/>
        <v>0.76</v>
      </c>
      <c r="F46" s="43">
        <f t="shared" si="1"/>
        <v>1</v>
      </c>
      <c r="G46" s="45">
        <f t="shared" si="2"/>
        <v>0.61842105263157887</v>
      </c>
      <c r="H46" s="4"/>
      <c r="I46" s="4"/>
      <c r="J46" s="4"/>
    </row>
    <row r="47" spans="1:13" x14ac:dyDescent="0.2">
      <c r="A47" s="4"/>
      <c r="B47" s="4"/>
      <c r="C47" s="166">
        <v>11</v>
      </c>
      <c r="D47" s="164">
        <f t="shared" si="0"/>
        <v>0.44</v>
      </c>
      <c r="E47" s="163">
        <f t="shared" si="0"/>
        <v>0.71</v>
      </c>
      <c r="F47" s="43">
        <f t="shared" si="1"/>
        <v>1</v>
      </c>
      <c r="G47" s="45">
        <f t="shared" si="2"/>
        <v>0.61971830985915499</v>
      </c>
      <c r="H47" s="4"/>
      <c r="I47" s="4"/>
      <c r="J47" s="4"/>
    </row>
    <row r="48" spans="1:13" x14ac:dyDescent="0.2">
      <c r="A48" s="4"/>
      <c r="B48" s="4"/>
      <c r="C48" s="166">
        <v>12</v>
      </c>
      <c r="D48" s="164">
        <f t="shared" si="0"/>
        <v>0.56000000000000005</v>
      </c>
      <c r="E48" s="163">
        <f t="shared" si="0"/>
        <v>0.9</v>
      </c>
      <c r="F48" s="43">
        <f t="shared" si="1"/>
        <v>2</v>
      </c>
      <c r="G48" s="45">
        <f t="shared" si="2"/>
        <v>0.62222222222222223</v>
      </c>
      <c r="H48" s="4"/>
      <c r="I48" s="4"/>
      <c r="J48" s="4"/>
    </row>
    <row r="49" spans="1:13" x14ac:dyDescent="0.2">
      <c r="A49" s="4"/>
      <c r="B49" s="4"/>
      <c r="C49" s="166">
        <v>13</v>
      </c>
      <c r="D49" s="164">
        <f t="shared" si="0"/>
        <v>0.6</v>
      </c>
      <c r="E49" s="163">
        <f t="shared" si="0"/>
        <v>0.96</v>
      </c>
      <c r="F49" s="43">
        <f t="shared" si="1"/>
        <v>3</v>
      </c>
      <c r="G49" s="45">
        <f t="shared" si="2"/>
        <v>0.625</v>
      </c>
      <c r="H49" s="4"/>
      <c r="I49" s="4"/>
      <c r="J49" s="4"/>
    </row>
    <row r="50" spans="1:13" x14ac:dyDescent="0.2">
      <c r="A50" s="4"/>
      <c r="B50" s="4"/>
      <c r="C50" s="166">
        <v>14</v>
      </c>
      <c r="D50" s="164">
        <f t="shared" si="0"/>
        <v>0.78</v>
      </c>
      <c r="E50" s="163">
        <f t="shared" si="0"/>
        <v>1.25</v>
      </c>
      <c r="F50" s="43">
        <f t="shared" si="1"/>
        <v>5</v>
      </c>
      <c r="G50" s="45">
        <f t="shared" si="2"/>
        <v>0.624</v>
      </c>
      <c r="H50" s="4"/>
      <c r="I50" s="4"/>
      <c r="J50" s="4"/>
    </row>
    <row r="51" spans="1:13" x14ac:dyDescent="0.2">
      <c r="A51" s="4"/>
      <c r="B51" s="4"/>
      <c r="C51" s="166">
        <v>15</v>
      </c>
      <c r="D51" s="164">
        <f t="shared" si="0"/>
        <v>0.85</v>
      </c>
      <c r="E51" s="163">
        <f t="shared" si="0"/>
        <v>1.37</v>
      </c>
      <c r="F51" s="43">
        <f t="shared" si="1"/>
        <v>5</v>
      </c>
      <c r="G51" s="45">
        <f t="shared" si="2"/>
        <v>0.62043795620437947</v>
      </c>
      <c r="H51" s="4"/>
      <c r="I51" s="4"/>
      <c r="J51" s="4"/>
    </row>
    <row r="52" spans="1:13" x14ac:dyDescent="0.2">
      <c r="A52" s="4"/>
      <c r="B52" s="4"/>
      <c r="C52" s="4"/>
      <c r="D52" s="4"/>
      <c r="E52" s="4"/>
      <c r="F52" s="4"/>
      <c r="G52" s="4"/>
      <c r="H52" s="4"/>
    </row>
    <row r="53" spans="1:13" x14ac:dyDescent="0.2">
      <c r="A53" s="22"/>
      <c r="B53" s="4" t="s">
        <v>60</v>
      </c>
      <c r="C53" s="4"/>
      <c r="D53" s="4"/>
      <c r="E53" s="4"/>
      <c r="F53" s="4"/>
      <c r="G53" s="4"/>
      <c r="H53" s="4"/>
    </row>
    <row r="54" spans="1:13" ht="51" x14ac:dyDescent="0.2">
      <c r="A54" s="4"/>
      <c r="B54" s="4"/>
      <c r="C54" s="165" t="s">
        <v>51</v>
      </c>
      <c r="D54" s="162" t="s">
        <v>52</v>
      </c>
      <c r="E54" s="162" t="s">
        <v>54</v>
      </c>
      <c r="F54" s="150" t="s">
        <v>13</v>
      </c>
      <c r="G54" s="147" t="s">
        <v>59</v>
      </c>
      <c r="H54" s="4"/>
      <c r="K54" s="4"/>
      <c r="L54" s="23"/>
      <c r="M54" s="4"/>
    </row>
    <row r="55" spans="1:13" x14ac:dyDescent="0.2">
      <c r="A55" s="4"/>
      <c r="B55" s="4"/>
      <c r="C55" s="166">
        <v>1</v>
      </c>
      <c r="D55" s="164">
        <f>D37</f>
        <v>0.56999999999999995</v>
      </c>
      <c r="E55" s="163">
        <f t="shared" ref="E55:E69" si="3">F7</f>
        <v>0.9</v>
      </c>
      <c r="F55" s="43">
        <f>ROUNDUP(RANK(E55,E$55:E$69,1)/3,0)</f>
        <v>2</v>
      </c>
      <c r="G55" s="45">
        <f>D55/E55</f>
        <v>0.6333333333333333</v>
      </c>
      <c r="H55" s="4"/>
      <c r="K55" s="24"/>
      <c r="L55" s="24"/>
      <c r="M55" s="24"/>
    </row>
    <row r="56" spans="1:13" x14ac:dyDescent="0.2">
      <c r="A56" s="4"/>
      <c r="B56" s="4"/>
      <c r="C56" s="166">
        <v>2</v>
      </c>
      <c r="D56" s="164">
        <f t="shared" ref="D56:D69" si="4">D38</f>
        <v>0.64</v>
      </c>
      <c r="E56" s="163">
        <f t="shared" si="3"/>
        <v>1</v>
      </c>
      <c r="F56" s="43">
        <f t="shared" ref="F56:F69" si="5">ROUNDUP(RANK(E56,E$55:E$69,1)/3,0)</f>
        <v>3</v>
      </c>
      <c r="G56" s="45">
        <f t="shared" ref="G56:G69" si="6">D56/E56</f>
        <v>0.64</v>
      </c>
      <c r="H56" s="4"/>
      <c r="K56" s="24"/>
      <c r="L56" s="24"/>
      <c r="M56" s="24"/>
    </row>
    <row r="57" spans="1:13" x14ac:dyDescent="0.2">
      <c r="A57" s="4"/>
      <c r="B57" s="4"/>
      <c r="C57" s="166">
        <v>3</v>
      </c>
      <c r="D57" s="164">
        <f t="shared" si="4"/>
        <v>0.82</v>
      </c>
      <c r="E57" s="163">
        <f t="shared" si="3"/>
        <v>1.28</v>
      </c>
      <c r="F57" s="43">
        <f t="shared" si="5"/>
        <v>5</v>
      </c>
      <c r="G57" s="45">
        <f t="shared" si="6"/>
        <v>0.640625</v>
      </c>
      <c r="H57" s="4"/>
      <c r="K57" s="24"/>
      <c r="L57" s="24"/>
      <c r="M57" s="24"/>
    </row>
    <row r="58" spans="1:13" x14ac:dyDescent="0.2">
      <c r="A58" s="4"/>
      <c r="B58" s="4"/>
      <c r="C58" s="166">
        <v>4</v>
      </c>
      <c r="D58" s="164">
        <f t="shared" si="4"/>
        <v>0.4</v>
      </c>
      <c r="E58" s="163">
        <f t="shared" si="3"/>
        <v>0.7</v>
      </c>
      <c r="F58" s="43">
        <f t="shared" si="5"/>
        <v>1</v>
      </c>
      <c r="G58" s="45">
        <f>D58/E58</f>
        <v>0.57142857142857151</v>
      </c>
      <c r="H58" s="4"/>
      <c r="K58" s="24"/>
      <c r="L58" s="24"/>
      <c r="M58" s="24"/>
    </row>
    <row r="59" spans="1:13" x14ac:dyDescent="0.2">
      <c r="A59" s="4"/>
      <c r="B59" s="4"/>
      <c r="C59" s="166">
        <v>5</v>
      </c>
      <c r="D59" s="164">
        <f t="shared" si="4"/>
        <v>0.55000000000000004</v>
      </c>
      <c r="E59" s="163">
        <f t="shared" si="3"/>
        <v>0.94</v>
      </c>
      <c r="F59" s="43">
        <f t="shared" si="5"/>
        <v>2</v>
      </c>
      <c r="G59" s="45">
        <f t="shared" si="6"/>
        <v>0.58510638297872353</v>
      </c>
      <c r="H59" s="4"/>
      <c r="K59" s="24"/>
      <c r="L59" s="24"/>
      <c r="M59" s="24"/>
    </row>
    <row r="60" spans="1:13" x14ac:dyDescent="0.2">
      <c r="A60" s="4"/>
      <c r="B60" s="4"/>
      <c r="C60" s="166">
        <v>6</v>
      </c>
      <c r="D60" s="164">
        <f t="shared" si="4"/>
        <v>0.48</v>
      </c>
      <c r="E60" s="163">
        <f t="shared" si="3"/>
        <v>0.75</v>
      </c>
      <c r="F60" s="43">
        <f t="shared" si="5"/>
        <v>1</v>
      </c>
      <c r="G60" s="45">
        <f t="shared" si="6"/>
        <v>0.64</v>
      </c>
      <c r="H60" s="4"/>
      <c r="K60" s="24"/>
      <c r="L60" s="24"/>
      <c r="M60" s="24"/>
    </row>
    <row r="61" spans="1:13" x14ac:dyDescent="0.2">
      <c r="A61" s="4"/>
      <c r="B61" s="4"/>
      <c r="C61" s="166">
        <v>7</v>
      </c>
      <c r="D61" s="164">
        <f t="shared" si="4"/>
        <v>0.74</v>
      </c>
      <c r="E61" s="163">
        <f t="shared" si="3"/>
        <v>1.19</v>
      </c>
      <c r="F61" s="43">
        <f t="shared" si="5"/>
        <v>4</v>
      </c>
      <c r="G61" s="45">
        <f t="shared" si="6"/>
        <v>0.62184873949579833</v>
      </c>
      <c r="H61" s="4"/>
      <c r="K61" s="24"/>
      <c r="L61" s="24"/>
      <c r="M61" s="24"/>
    </row>
    <row r="62" spans="1:13" x14ac:dyDescent="0.2">
      <c r="A62" s="4"/>
      <c r="B62" s="4"/>
      <c r="C62" s="166">
        <v>8</v>
      </c>
      <c r="D62" s="164">
        <f t="shared" si="4"/>
        <v>0.68</v>
      </c>
      <c r="E62" s="163">
        <f t="shared" si="3"/>
        <v>1.1499999999999999</v>
      </c>
      <c r="F62" s="43">
        <f t="shared" si="5"/>
        <v>4</v>
      </c>
      <c r="G62" s="45">
        <f t="shared" si="6"/>
        <v>0.5913043478260871</v>
      </c>
      <c r="H62" s="4"/>
      <c r="K62" s="24"/>
      <c r="L62" s="24"/>
      <c r="M62" s="24"/>
    </row>
    <row r="63" spans="1:13" x14ac:dyDescent="0.2">
      <c r="A63" s="4"/>
      <c r="B63" s="4"/>
      <c r="C63" s="166">
        <v>9</v>
      </c>
      <c r="D63" s="164">
        <f t="shared" si="4"/>
        <v>0.72</v>
      </c>
      <c r="E63" s="163">
        <f t="shared" si="3"/>
        <v>1.08</v>
      </c>
      <c r="F63" s="43">
        <f t="shared" si="5"/>
        <v>4</v>
      </c>
      <c r="G63" s="45">
        <f t="shared" si="6"/>
        <v>0.66666666666666663</v>
      </c>
      <c r="H63" s="4"/>
      <c r="K63" s="24"/>
      <c r="L63" s="24"/>
      <c r="M63" s="24"/>
    </row>
    <row r="64" spans="1:13" x14ac:dyDescent="0.2">
      <c r="A64" s="4"/>
      <c r="B64" s="4"/>
      <c r="C64" s="166">
        <v>10</v>
      </c>
      <c r="D64" s="164">
        <f t="shared" si="4"/>
        <v>0.47</v>
      </c>
      <c r="E64" s="163">
        <f t="shared" si="3"/>
        <v>0.85</v>
      </c>
      <c r="F64" s="43">
        <f t="shared" si="5"/>
        <v>2</v>
      </c>
      <c r="G64" s="45">
        <f t="shared" si="6"/>
        <v>0.55294117647058827</v>
      </c>
      <c r="H64" s="4"/>
      <c r="K64" s="4"/>
      <c r="L64" s="23"/>
      <c r="M64" s="4"/>
    </row>
    <row r="65" spans="1:14" x14ac:dyDescent="0.2">
      <c r="A65" s="4"/>
      <c r="B65" s="4"/>
      <c r="C65" s="166">
        <v>11</v>
      </c>
      <c r="D65" s="164">
        <f t="shared" si="4"/>
        <v>0.44</v>
      </c>
      <c r="E65" s="163">
        <f t="shared" si="3"/>
        <v>0.77</v>
      </c>
      <c r="F65" s="43">
        <f t="shared" si="5"/>
        <v>1</v>
      </c>
      <c r="G65" s="45">
        <f t="shared" si="6"/>
        <v>0.5714285714285714</v>
      </c>
      <c r="H65" s="4"/>
      <c r="K65" s="24"/>
      <c r="L65" s="24"/>
      <c r="M65" s="24"/>
    </row>
    <row r="66" spans="1:14" x14ac:dyDescent="0.2">
      <c r="A66" s="4"/>
      <c r="B66" s="4"/>
      <c r="C66" s="166">
        <v>12</v>
      </c>
      <c r="D66" s="164">
        <f t="shared" si="4"/>
        <v>0.56000000000000005</v>
      </c>
      <c r="E66" s="163">
        <f t="shared" si="3"/>
        <v>0.98</v>
      </c>
      <c r="F66" s="43">
        <f t="shared" si="5"/>
        <v>3</v>
      </c>
      <c r="G66" s="45">
        <f t="shared" si="6"/>
        <v>0.57142857142857151</v>
      </c>
      <c r="H66" s="4"/>
      <c r="K66" s="24"/>
      <c r="L66" s="24"/>
      <c r="M66" s="24"/>
    </row>
    <row r="67" spans="1:14" x14ac:dyDescent="0.2">
      <c r="A67" s="4"/>
      <c r="B67" s="4"/>
      <c r="C67" s="166">
        <v>13</v>
      </c>
      <c r="D67" s="164">
        <f t="shared" si="4"/>
        <v>0.6</v>
      </c>
      <c r="E67" s="163">
        <f t="shared" si="3"/>
        <v>0.95</v>
      </c>
      <c r="F67" s="43">
        <f t="shared" si="5"/>
        <v>3</v>
      </c>
      <c r="G67" s="45">
        <f t="shared" si="6"/>
        <v>0.63157894736842102</v>
      </c>
      <c r="H67" s="4"/>
      <c r="K67" s="24"/>
      <c r="L67" s="24"/>
      <c r="M67" s="24"/>
    </row>
    <row r="68" spans="1:14" x14ac:dyDescent="0.2">
      <c r="A68" s="4"/>
      <c r="B68" s="4"/>
      <c r="C68" s="166">
        <v>14</v>
      </c>
      <c r="D68" s="164">
        <f t="shared" si="4"/>
        <v>0.78</v>
      </c>
      <c r="E68" s="163">
        <f t="shared" si="3"/>
        <v>1.3</v>
      </c>
      <c r="F68" s="43">
        <f t="shared" si="5"/>
        <v>5</v>
      </c>
      <c r="G68" s="45">
        <f t="shared" si="6"/>
        <v>0.6</v>
      </c>
      <c r="H68" s="4"/>
      <c r="K68" s="24"/>
      <c r="L68" s="24"/>
      <c r="M68" s="24"/>
    </row>
    <row r="69" spans="1:14" x14ac:dyDescent="0.2">
      <c r="A69" s="4"/>
      <c r="B69" s="4"/>
      <c r="C69" s="166">
        <v>15</v>
      </c>
      <c r="D69" s="164">
        <f t="shared" si="4"/>
        <v>0.85</v>
      </c>
      <c r="E69" s="163">
        <f t="shared" si="3"/>
        <v>1.32</v>
      </c>
      <c r="F69" s="43">
        <f t="shared" si="5"/>
        <v>5</v>
      </c>
      <c r="G69" s="45">
        <f t="shared" si="6"/>
        <v>0.64393939393939392</v>
      </c>
      <c r="H69" s="4"/>
      <c r="K69" s="24"/>
      <c r="L69" s="24"/>
      <c r="M69" s="24"/>
    </row>
    <row r="70" spans="1:14" x14ac:dyDescent="0.2">
      <c r="A70" s="4"/>
      <c r="B70" s="4"/>
      <c r="C70" s="4"/>
      <c r="D70" s="4"/>
      <c r="E70" s="4"/>
      <c r="F70" s="4"/>
      <c r="G70" s="4"/>
      <c r="H70" s="4"/>
      <c r="I70" s="4"/>
      <c r="L70" s="24"/>
      <c r="M70" s="24"/>
      <c r="N70" s="24"/>
    </row>
    <row r="71" spans="1:14" x14ac:dyDescent="0.2">
      <c r="A71" s="4"/>
      <c r="B71" s="4" t="s">
        <v>61</v>
      </c>
      <c r="C71" s="4"/>
      <c r="D71" s="4"/>
      <c r="E71" s="4"/>
      <c r="F71" s="4"/>
      <c r="G71" s="4"/>
      <c r="H71" s="4"/>
      <c r="I71" s="4"/>
      <c r="L71" s="24"/>
      <c r="M71" s="24"/>
      <c r="N71" s="24"/>
    </row>
    <row r="72" spans="1:14" x14ac:dyDescent="0.2">
      <c r="A72" s="4"/>
      <c r="B72" s="4"/>
      <c r="C72" s="4"/>
      <c r="D72" s="4"/>
      <c r="E72" s="4"/>
      <c r="F72" s="4"/>
      <c r="G72" s="4"/>
      <c r="H72" s="4"/>
      <c r="I72" s="4"/>
      <c r="L72" s="24"/>
      <c r="M72" s="24"/>
      <c r="N72" s="24"/>
    </row>
    <row r="73" spans="1:14" x14ac:dyDescent="0.2">
      <c r="A73" s="4"/>
      <c r="B73" s="4" t="s">
        <v>62</v>
      </c>
      <c r="C73" s="4"/>
      <c r="D73" s="4"/>
      <c r="E73" s="4"/>
      <c r="F73" s="4"/>
      <c r="G73" s="4"/>
      <c r="H73" s="4"/>
      <c r="I73" s="4"/>
      <c r="L73" s="24"/>
      <c r="M73" s="24"/>
      <c r="N73" s="24"/>
    </row>
    <row r="74" spans="1:14" ht="34" x14ac:dyDescent="0.2">
      <c r="A74" s="4"/>
      <c r="B74" s="4"/>
      <c r="C74" s="148" t="s">
        <v>13</v>
      </c>
      <c r="D74" s="148" t="s">
        <v>63</v>
      </c>
      <c r="E74" s="148" t="s">
        <v>52</v>
      </c>
      <c r="F74" s="147" t="s">
        <v>59</v>
      </c>
      <c r="G74" s="4"/>
      <c r="H74" s="4"/>
      <c r="I74" s="4"/>
      <c r="L74" s="4"/>
      <c r="M74" s="23"/>
      <c r="N74" s="4"/>
    </row>
    <row r="75" spans="1:14" x14ac:dyDescent="0.2">
      <c r="A75" s="4"/>
      <c r="B75" s="4"/>
      <c r="C75" s="43">
        <v>1</v>
      </c>
      <c r="D75" s="160">
        <f>AVERAGEIF(F$37:F$51,$C75,E$37:E$51)</f>
        <v>0.70666666666666667</v>
      </c>
      <c r="E75" s="161">
        <f>AVERAGEIF(F$37:F$51,$C75,D$37:D$51)</f>
        <v>0.4366666666666667</v>
      </c>
      <c r="F75" s="159">
        <f>AVERAGEIF(F$37:F$51,$C75,G$37:G$51)</f>
        <v>0.61784132595844976</v>
      </c>
      <c r="G75" s="4"/>
      <c r="H75" s="4"/>
      <c r="I75" s="4"/>
      <c r="L75" s="24"/>
      <c r="M75" s="24"/>
      <c r="N75" s="24"/>
    </row>
    <row r="76" spans="1:14" x14ac:dyDescent="0.2">
      <c r="A76" s="4"/>
      <c r="B76" s="4"/>
      <c r="C76" s="43">
        <v>2</v>
      </c>
      <c r="D76" s="160">
        <f>AVERAGEIF(F$37:F$51,$C76,E$37:E$51)</f>
        <v>0.85333333333333339</v>
      </c>
      <c r="E76" s="161">
        <f>AVERAGEIF(F$37:F$51,$C76,D$37:D$51)</f>
        <v>0.53</v>
      </c>
      <c r="F76" s="159">
        <f>AVERAGEIF(F$37:F$51,$C76,G$37:G$51)</f>
        <v>0.62119212456291117</v>
      </c>
      <c r="G76" s="4"/>
      <c r="H76" s="4"/>
      <c r="I76" s="4"/>
      <c r="L76" s="24"/>
      <c r="M76" s="24"/>
      <c r="N76" s="24"/>
    </row>
    <row r="77" spans="1:14" x14ac:dyDescent="0.2">
      <c r="A77" s="4"/>
      <c r="B77" s="4"/>
      <c r="C77" s="43">
        <v>3</v>
      </c>
      <c r="D77" s="160">
        <f>AVERAGEIF(F$37:F$51,$C77,E$37:E$51)</f>
        <v>0.98333333333333339</v>
      </c>
      <c r="E77" s="161">
        <f>AVERAGEIF(F$37:F$51,$C77,D$37:D$51)</f>
        <v>0.60333333333333339</v>
      </c>
      <c r="F77" s="159">
        <f>AVERAGEIF(F$37:F$51,$C77,G$37:G$51)</f>
        <v>0.61363559608240459</v>
      </c>
      <c r="G77" s="4"/>
      <c r="H77" s="4"/>
      <c r="I77" s="4"/>
      <c r="L77" s="24"/>
      <c r="M77" s="24"/>
      <c r="N77" s="24"/>
    </row>
    <row r="78" spans="1:14" x14ac:dyDescent="0.2">
      <c r="A78" s="4"/>
      <c r="B78" s="4"/>
      <c r="C78" s="43">
        <v>4</v>
      </c>
      <c r="D78" s="160">
        <f>AVERAGEIF(F$37:F$51,$C78,E$37:E$51)</f>
        <v>1.1500000000000001</v>
      </c>
      <c r="E78" s="161">
        <f>AVERAGEIF(F$37:F$51,$C78,D$37:D$51)</f>
        <v>0.71333333333333326</v>
      </c>
      <c r="F78" s="159">
        <f>AVERAGEIF(F$37:F$51,$C78,G$37:G$51)</f>
        <v>0.6202400709500101</v>
      </c>
      <c r="G78" s="4"/>
      <c r="H78" s="4"/>
      <c r="I78" s="4"/>
      <c r="L78" s="24"/>
      <c r="M78" s="24"/>
      <c r="N78" s="24"/>
    </row>
    <row r="79" spans="1:14" x14ac:dyDescent="0.2">
      <c r="A79" s="4"/>
      <c r="B79" s="4"/>
      <c r="C79" s="43">
        <v>5</v>
      </c>
      <c r="D79" s="160">
        <f>AVERAGEIF(F$37:F$51,$C79,E$37:E$51)</f>
        <v>1.3066666666666666</v>
      </c>
      <c r="E79" s="161">
        <f>AVERAGEIF(F$37:F$51,$C79,D$37:D$51)</f>
        <v>0.81666666666666676</v>
      </c>
      <c r="F79" s="159">
        <f>AVERAGEIF(F$37:F$51,$C79,G$37:G$51)</f>
        <v>0.62506906232453685</v>
      </c>
      <c r="G79" s="4"/>
      <c r="H79" s="4"/>
      <c r="I79" s="4"/>
      <c r="L79" s="24"/>
      <c r="M79" s="24"/>
      <c r="N79" s="24"/>
    </row>
    <row r="80" spans="1:14" x14ac:dyDescent="0.2">
      <c r="A80" s="4"/>
      <c r="B80" s="4"/>
      <c r="C80" s="4"/>
      <c r="D80" s="4"/>
      <c r="E80" s="4"/>
      <c r="F80" s="4"/>
      <c r="G80" s="4"/>
      <c r="H80" s="4"/>
      <c r="I80" s="4"/>
      <c r="L80" s="24"/>
      <c r="M80" s="24"/>
      <c r="N80" s="24"/>
    </row>
    <row r="81" spans="1:65" x14ac:dyDescent="0.2">
      <c r="A81" s="4"/>
      <c r="B81" s="4" t="s">
        <v>64</v>
      </c>
      <c r="C81" s="4"/>
      <c r="D81" s="4"/>
      <c r="E81" s="4"/>
      <c r="F81" s="4"/>
      <c r="G81" s="4"/>
      <c r="H81" s="4"/>
      <c r="I81" s="4"/>
      <c r="L81" s="24"/>
      <c r="M81" s="24"/>
      <c r="N81" s="24"/>
    </row>
    <row r="82" spans="1:65" ht="34" x14ac:dyDescent="0.2">
      <c r="A82" s="4"/>
      <c r="B82" s="4"/>
      <c r="C82" s="148" t="s">
        <v>13</v>
      </c>
      <c r="D82" s="148" t="s">
        <v>63</v>
      </c>
      <c r="E82" s="148" t="s">
        <v>52</v>
      </c>
      <c r="F82" s="147" t="s">
        <v>59</v>
      </c>
      <c r="G82" s="4"/>
      <c r="H82" s="4"/>
      <c r="I82" s="4"/>
      <c r="L82" s="24"/>
      <c r="M82" s="24"/>
      <c r="N82" s="24"/>
    </row>
    <row r="83" spans="1:65" x14ac:dyDescent="0.2">
      <c r="A83" s="4"/>
      <c r="B83" s="4"/>
      <c r="C83" s="43">
        <v>1</v>
      </c>
      <c r="D83" s="160">
        <f>AVERAGEIF(F$55:F$69,$C83,E$55:E$69)</f>
        <v>0.73999999999999988</v>
      </c>
      <c r="E83" s="161">
        <f>AVERAGEIF(F$55:F$69,$C83,D$55:D$69)</f>
        <v>0.44</v>
      </c>
      <c r="F83" s="159">
        <f>AVERAGEIF(F$55:F$69,$C83,G$55:G$69)</f>
        <v>0.59428571428571431</v>
      </c>
      <c r="G83" s="4"/>
      <c r="H83" s="4"/>
      <c r="I83" s="4"/>
      <c r="L83" s="24"/>
      <c r="M83" s="24"/>
      <c r="N83" s="24"/>
    </row>
    <row r="84" spans="1:65" x14ac:dyDescent="0.2">
      <c r="A84" s="4"/>
      <c r="B84" s="4"/>
      <c r="C84" s="43">
        <v>2</v>
      </c>
      <c r="D84" s="160">
        <f>AVERAGEIF(F$55:F$69,$C84,E$55:E$69)</f>
        <v>0.89666666666666661</v>
      </c>
      <c r="E84" s="161">
        <f>AVERAGEIF(F$55:F$69,$C84,D$55:D$69)</f>
        <v>0.53</v>
      </c>
      <c r="F84" s="159">
        <f>AVERAGEIF(F$55:F$69,$C84,G$55:G$69)</f>
        <v>0.59046029759421503</v>
      </c>
      <c r="G84" s="4"/>
      <c r="H84" s="4"/>
      <c r="I84" s="4"/>
      <c r="L84" s="4"/>
      <c r="M84" s="23"/>
      <c r="N84" s="4"/>
    </row>
    <row r="85" spans="1:65" x14ac:dyDescent="0.2">
      <c r="A85" s="4"/>
      <c r="B85" s="4"/>
      <c r="C85" s="43">
        <v>3</v>
      </c>
      <c r="D85" s="160">
        <f>AVERAGEIF(F$55:F$69,$C85,E$55:E$69)</f>
        <v>0.97666666666666657</v>
      </c>
      <c r="E85" s="161">
        <f>AVERAGEIF(F$55:F$69,$C85,D$55:D$69)</f>
        <v>0.60000000000000009</v>
      </c>
      <c r="F85" s="159">
        <f>AVERAGEIF(F$55:F$69,$C85,G$55:G$69)</f>
        <v>0.61433583959899751</v>
      </c>
      <c r="G85" s="4"/>
      <c r="H85" s="4"/>
      <c r="I85" s="4"/>
      <c r="L85" s="24"/>
      <c r="M85" s="24"/>
      <c r="N85" s="24"/>
    </row>
    <row r="86" spans="1:65" x14ac:dyDescent="0.2">
      <c r="A86" s="4"/>
      <c r="B86" s="4"/>
      <c r="C86" s="43">
        <v>4</v>
      </c>
      <c r="D86" s="160">
        <f>AVERAGEIF(F$55:F$69,$C86,E$55:E$69)</f>
        <v>1.1399999999999999</v>
      </c>
      <c r="E86" s="161">
        <f>AVERAGEIF(F$55:F$69,$C86,D$55:D$69)</f>
        <v>0.71333333333333326</v>
      </c>
      <c r="F86" s="159">
        <f>AVERAGEIF(F$55:F$69,$C86,G$55:G$69)</f>
        <v>0.62660658466285069</v>
      </c>
      <c r="G86" s="4"/>
      <c r="H86" s="4"/>
      <c r="I86" s="4"/>
      <c r="L86" s="24"/>
      <c r="M86" s="24"/>
      <c r="N86" s="24"/>
    </row>
    <row r="87" spans="1:65" x14ac:dyDescent="0.2">
      <c r="A87" s="4"/>
      <c r="B87" s="4"/>
      <c r="C87" s="43">
        <v>5</v>
      </c>
      <c r="D87" s="160">
        <f>AVERAGEIF(F$55:F$69,$C87,E$55:E$69)</f>
        <v>1.3</v>
      </c>
      <c r="E87" s="161">
        <f>AVERAGEIF(F$55:F$69,$C87,D$55:D$69)</f>
        <v>0.81666666666666676</v>
      </c>
      <c r="F87" s="159">
        <f>AVERAGEIF(F$55:F$69,$C87,G$55:G$69)</f>
        <v>0.62818813131313134</v>
      </c>
      <c r="G87" s="4"/>
      <c r="H87" s="4"/>
      <c r="I87" s="4"/>
      <c r="L87" s="24"/>
      <c r="M87" s="24"/>
      <c r="N87" s="24"/>
    </row>
    <row r="88" spans="1:65" x14ac:dyDescent="0.2">
      <c r="A88" s="4"/>
      <c r="B88" s="4"/>
      <c r="C88" s="4"/>
      <c r="D88" s="4"/>
      <c r="E88" s="4"/>
      <c r="F88" s="4"/>
      <c r="G88" s="4"/>
      <c r="H88" s="4"/>
      <c r="I88" s="4"/>
      <c r="L88" s="24"/>
      <c r="M88" s="24"/>
      <c r="N88" s="24"/>
    </row>
    <row r="89" spans="1:65" x14ac:dyDescent="0.2">
      <c r="A89" s="4"/>
      <c r="B89" s="4" t="s">
        <v>150</v>
      </c>
      <c r="C89" s="4"/>
      <c r="D89" s="4"/>
      <c r="E89" s="4"/>
      <c r="F89" s="4"/>
      <c r="G89" s="4"/>
      <c r="H89" s="4"/>
      <c r="I89" s="4"/>
      <c r="L89" s="24"/>
      <c r="M89" s="24"/>
      <c r="N89" s="24"/>
    </row>
    <row r="90" spans="1:65" x14ac:dyDescent="0.2">
      <c r="A90" s="4"/>
      <c r="B90" s="4" t="s">
        <v>151</v>
      </c>
      <c r="C90" s="4"/>
      <c r="D90" s="4"/>
      <c r="E90" s="4"/>
      <c r="F90" s="4"/>
      <c r="G90" s="4"/>
      <c r="H90" s="4"/>
      <c r="I90" s="4"/>
      <c r="L90" s="24"/>
      <c r="M90" s="24"/>
      <c r="N90" s="24"/>
    </row>
    <row r="91" spans="1:65" x14ac:dyDescent="0.2">
      <c r="A91" s="4"/>
      <c r="B91" s="4"/>
      <c r="C91" s="4"/>
      <c r="D91" s="4"/>
      <c r="E91" s="4"/>
      <c r="F91" s="4"/>
      <c r="G91" s="4"/>
      <c r="H91" s="4"/>
      <c r="I91" s="4"/>
      <c r="L91" s="24"/>
      <c r="M91" s="24"/>
      <c r="N91" s="24"/>
    </row>
    <row r="92" spans="1:65" x14ac:dyDescent="0.2">
      <c r="A92" s="4"/>
      <c r="B92" s="4" t="s">
        <v>152</v>
      </c>
      <c r="C92" s="4"/>
      <c r="D92" s="4"/>
      <c r="E92" s="4"/>
      <c r="F92" s="4"/>
      <c r="G92" s="4"/>
      <c r="H92" s="4"/>
      <c r="I92" s="4"/>
      <c r="L92" s="24"/>
      <c r="M92" s="24"/>
      <c r="N92" s="24"/>
    </row>
    <row r="93" spans="1:65" x14ac:dyDescent="0.2">
      <c r="A93" s="4"/>
      <c r="B93" s="4"/>
      <c r="C93" s="4"/>
      <c r="D93" s="4"/>
      <c r="E93" s="4"/>
      <c r="F93" s="4"/>
      <c r="G93" s="4"/>
      <c r="H93" s="4"/>
      <c r="I93" s="4"/>
      <c r="L93" s="24"/>
      <c r="M93" s="24"/>
      <c r="N93" s="24"/>
    </row>
    <row r="94" spans="1:65" x14ac:dyDescent="0.2">
      <c r="A94" s="4"/>
      <c r="B94" s="4" t="s">
        <v>153</v>
      </c>
      <c r="C94" s="4"/>
      <c r="D94" s="4"/>
      <c r="E94" s="4"/>
      <c r="F94" s="4"/>
      <c r="G94" s="4"/>
      <c r="H94" s="4"/>
      <c r="I94" s="4"/>
      <c r="L94" s="4"/>
      <c r="M94" s="23"/>
      <c r="N94" s="4"/>
    </row>
    <row r="95" spans="1:65" x14ac:dyDescent="0.2">
      <c r="A95" s="24"/>
      <c r="B95" s="4" t="s">
        <v>154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</row>
    <row r="96" spans="1:65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</row>
    <row r="97" spans="1:66" x14ac:dyDescent="0.2">
      <c r="A97" s="24"/>
      <c r="B97" s="4" t="s">
        <v>155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</row>
    <row r="98" spans="1:66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</row>
    <row r="99" spans="1:66" x14ac:dyDescent="0.2">
      <c r="A99" s="24"/>
      <c r="B99" s="24"/>
      <c r="C99" s="24"/>
      <c r="D99" s="24"/>
      <c r="E99" s="42" t="s">
        <v>156</v>
      </c>
      <c r="F99" s="42" t="s">
        <v>157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</row>
    <row r="100" spans="1:66" ht="34" x14ac:dyDescent="0.2">
      <c r="A100" s="24"/>
      <c r="B100" s="24"/>
      <c r="C100" s="148" t="s">
        <v>13</v>
      </c>
      <c r="D100" s="148" t="s">
        <v>52</v>
      </c>
      <c r="E100" s="148" t="s">
        <v>59</v>
      </c>
      <c r="F100" s="147" t="s">
        <v>59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</row>
    <row r="101" spans="1:66" x14ac:dyDescent="0.2">
      <c r="A101" s="24"/>
      <c r="B101" s="24"/>
      <c r="C101" s="43">
        <v>1</v>
      </c>
      <c r="D101" s="161">
        <f t="shared" ref="D101:E105" si="7">E75</f>
        <v>0.4366666666666667</v>
      </c>
      <c r="E101" s="160">
        <f t="shared" si="7"/>
        <v>0.61784132595844976</v>
      </c>
      <c r="F101" s="44">
        <f>F83</f>
        <v>0.59428571428571431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</row>
    <row r="102" spans="1:66" x14ac:dyDescent="0.2">
      <c r="A102" s="24"/>
      <c r="B102" s="24"/>
      <c r="C102" s="43">
        <v>2</v>
      </c>
      <c r="D102" s="161">
        <f t="shared" si="7"/>
        <v>0.53</v>
      </c>
      <c r="E102" s="160">
        <f t="shared" si="7"/>
        <v>0.62119212456291117</v>
      </c>
      <c r="F102" s="44">
        <f>F84</f>
        <v>0.59046029759421503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</row>
    <row r="103" spans="1:66" x14ac:dyDescent="0.2">
      <c r="A103" s="24"/>
      <c r="B103" s="24"/>
      <c r="C103" s="43">
        <v>3</v>
      </c>
      <c r="D103" s="161">
        <f t="shared" si="7"/>
        <v>0.60333333333333339</v>
      </c>
      <c r="E103" s="160">
        <f t="shared" si="7"/>
        <v>0.61363559608240459</v>
      </c>
      <c r="F103" s="44">
        <f>F85</f>
        <v>0.61433583959899751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</row>
    <row r="104" spans="1:66" x14ac:dyDescent="0.2">
      <c r="A104" s="24"/>
      <c r="B104" s="24"/>
      <c r="C104" s="43">
        <v>4</v>
      </c>
      <c r="D104" s="161">
        <f t="shared" si="7"/>
        <v>0.71333333333333326</v>
      </c>
      <c r="E104" s="160">
        <f t="shared" si="7"/>
        <v>0.6202400709500101</v>
      </c>
      <c r="F104" s="44">
        <f>F86</f>
        <v>0.62660658466285069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</row>
    <row r="105" spans="1:66" x14ac:dyDescent="0.2">
      <c r="A105" s="24"/>
      <c r="B105" s="24"/>
      <c r="C105" s="150">
        <v>5</v>
      </c>
      <c r="D105" s="175">
        <f t="shared" si="7"/>
        <v>0.81666666666666676</v>
      </c>
      <c r="E105" s="178">
        <f t="shared" si="7"/>
        <v>0.62506906232453685</v>
      </c>
      <c r="F105" s="171">
        <f>F87</f>
        <v>0.62818813131313134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</row>
    <row r="106" spans="1:66" x14ac:dyDescent="0.2">
      <c r="A106" s="24"/>
      <c r="C106" s="174" t="s">
        <v>158</v>
      </c>
      <c r="D106" s="176">
        <f>STDEV(D101:D105)^2</f>
        <v>2.2344444444444278E-2</v>
      </c>
      <c r="E106" s="176">
        <f>STDEV(E101:E105)^2</f>
        <v>1.7880536851912102E-5</v>
      </c>
      <c r="F106" s="172">
        <f>STDEV(F101:F105)^2</f>
        <v>3.1277986760668041E-4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</row>
    <row r="107" spans="1:66" x14ac:dyDescent="0.2">
      <c r="A107" s="24"/>
      <c r="C107" s="174" t="s">
        <v>159</v>
      </c>
      <c r="D107" s="177"/>
      <c r="E107" s="39">
        <f>E106/$D106</f>
        <v>8.0022293220890161E-4</v>
      </c>
      <c r="F107" s="173">
        <f>F106/$D106</f>
        <v>1.3998104467728218E-2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</row>
    <row r="108" spans="1:66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</row>
    <row r="109" spans="1:66" x14ac:dyDescent="0.2">
      <c r="A109" s="24"/>
      <c r="B109" s="4" t="s">
        <v>160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</row>
    <row r="110" spans="1:66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</row>
    <row r="111" spans="1:66" ht="19" x14ac:dyDescent="0.25">
      <c r="A111" s="21" t="s">
        <v>5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</row>
    <row r="112" spans="1:66" x14ac:dyDescent="0.2">
      <c r="A112" s="4" t="s">
        <v>161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</row>
    <row r="113" spans="1:65" x14ac:dyDescent="0.2">
      <c r="A113" s="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</row>
    <row r="114" spans="1:65" x14ac:dyDescent="0.2">
      <c r="A114" s="4" t="s">
        <v>162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</row>
    <row r="115" spans="1:65" x14ac:dyDescent="0.2">
      <c r="A115" s="4" t="s">
        <v>163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</row>
    <row r="116" spans="1:65" x14ac:dyDescent="0.2">
      <c r="A116" s="4" t="s">
        <v>164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</row>
    <row r="117" spans="1:65" x14ac:dyDescent="0.2">
      <c r="A117" s="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</row>
    <row r="118" spans="1:65" x14ac:dyDescent="0.2">
      <c r="A118" s="4" t="s">
        <v>165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</row>
    <row r="119" spans="1:65" x14ac:dyDescent="0.2">
      <c r="A119" s="181" t="s">
        <v>446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</row>
    <row r="120" spans="1:65" x14ac:dyDescent="0.2">
      <c r="A120" s="4" t="s">
        <v>166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</row>
    <row r="121" spans="1:65" x14ac:dyDescent="0.2">
      <c r="A121" s="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</row>
    <row r="122" spans="1:65" ht="19" x14ac:dyDescent="0.25">
      <c r="A122" s="21" t="s">
        <v>6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</row>
    <row r="123" spans="1:65" x14ac:dyDescent="0.2">
      <c r="A123" s="4" t="s">
        <v>167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</row>
    <row r="124" spans="1:65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</row>
    <row r="125" spans="1:65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</row>
    <row r="126" spans="1:65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</row>
    <row r="127" spans="1:65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</row>
    <row r="128" spans="1:65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</row>
    <row r="129" spans="1:65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</row>
    <row r="130" spans="1:65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</row>
    <row r="131" spans="1:65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</row>
    <row r="132" spans="1:65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</row>
    <row r="133" spans="1:65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</row>
    <row r="134" spans="1:65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</row>
    <row r="135" spans="1:65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</row>
    <row r="136" spans="1:65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</row>
    <row r="137" spans="1:65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</row>
    <row r="138" spans="1:65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</row>
    <row r="139" spans="1:65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</row>
    <row r="140" spans="1:65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</row>
    <row r="141" spans="1:65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</row>
    <row r="142" spans="1:65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</row>
    <row r="143" spans="1:65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</row>
    <row r="144" spans="1:65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</row>
    <row r="145" spans="1:65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</row>
    <row r="146" spans="1:65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</row>
    <row r="147" spans="1:65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</row>
    <row r="148" spans="1:65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</row>
    <row r="149" spans="1:65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</row>
    <row r="150" spans="1:65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</row>
    <row r="151" spans="1:65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</row>
    <row r="152" spans="1:65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</row>
    <row r="153" spans="1:65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</row>
    <row r="154" spans="1:65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</row>
    <row r="155" spans="1:65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</row>
    <row r="156" spans="1:65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</row>
    <row r="157" spans="1:65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</row>
    <row r="158" spans="1:65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</row>
    <row r="159" spans="1:65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</row>
    <row r="160" spans="1:65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</row>
    <row r="161" spans="1:65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</row>
    <row r="162" spans="1:65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</row>
    <row r="163" spans="1:65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</row>
    <row r="164" spans="1:65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</row>
    <row r="165" spans="1:65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</row>
    <row r="166" spans="1:65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</row>
    <row r="167" spans="1:65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</row>
    <row r="168" spans="1:65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</row>
    <row r="169" spans="1:65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</row>
    <row r="170" spans="1:65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</row>
    <row r="171" spans="1:65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</row>
    <row r="172" spans="1:65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</row>
    <row r="173" spans="1:65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</row>
    <row r="174" spans="1:65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</row>
    <row r="175" spans="1:65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</row>
    <row r="176" spans="1:65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</row>
    <row r="177" spans="1:65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</row>
    <row r="178" spans="1:65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</row>
    <row r="179" spans="1:65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</row>
    <row r="180" spans="1:65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</row>
    <row r="181" spans="1:65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</row>
    <row r="182" spans="1:65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</row>
    <row r="183" spans="1:65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</row>
    <row r="184" spans="1:65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</row>
    <row r="185" spans="1:65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</row>
    <row r="186" spans="1:65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</row>
    <row r="187" spans="1:65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</row>
    <row r="188" spans="1:65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</row>
    <row r="189" spans="1:65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</row>
    <row r="190" spans="1:65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</row>
    <row r="191" spans="1:65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</row>
    <row r="192" spans="1:65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</row>
    <row r="193" spans="1:65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</row>
    <row r="194" spans="1:65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</row>
    <row r="195" spans="1:65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</row>
    <row r="196" spans="1:65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</row>
    <row r="197" spans="1:65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</row>
    <row r="198" spans="1:65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</row>
    <row r="199" spans="1:65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</row>
    <row r="200" spans="1:65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</row>
  </sheetData>
  <mergeCells count="1">
    <mergeCell ref="B32:I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CD941-95BB-7A47-9D6A-FDAD45C87354}">
  <dimension ref="A1:BM251"/>
  <sheetViews>
    <sheetView showGridLines="0" zoomScale="120" zoomScaleNormal="120" workbookViewId="0"/>
  </sheetViews>
  <sheetFormatPr baseColWidth="10" defaultRowHeight="16" x14ac:dyDescent="0.2"/>
  <cols>
    <col min="1" max="3" width="10.83203125" style="18"/>
    <col min="4" max="4" width="12.6640625" style="18" customWidth="1"/>
    <col min="5" max="16384" width="10.83203125" style="18"/>
  </cols>
  <sheetData>
    <row r="1" spans="1:10" ht="19" x14ac:dyDescent="0.25">
      <c r="A1" s="16" t="s">
        <v>65</v>
      </c>
      <c r="B1" s="17"/>
      <c r="C1" s="17"/>
      <c r="D1" s="17"/>
      <c r="E1" s="17"/>
      <c r="F1" s="17"/>
      <c r="G1" s="17"/>
      <c r="H1" s="17"/>
      <c r="I1" s="17"/>
      <c r="J1" s="1"/>
    </row>
    <row r="2" spans="1:10" x14ac:dyDescent="0.2">
      <c r="A2" s="19"/>
      <c r="B2" s="17"/>
      <c r="C2" s="17"/>
      <c r="D2" s="17"/>
      <c r="E2" s="17"/>
      <c r="F2" s="17"/>
      <c r="G2" s="17"/>
      <c r="H2" s="17"/>
      <c r="I2" s="17"/>
      <c r="J2" s="1"/>
    </row>
    <row r="3" spans="1:10" ht="19" x14ac:dyDescent="0.25">
      <c r="A3" s="19"/>
      <c r="B3" s="136" t="s">
        <v>8</v>
      </c>
      <c r="C3" s="17"/>
      <c r="D3" s="17"/>
      <c r="E3" s="17"/>
      <c r="F3" s="17"/>
      <c r="G3" s="17"/>
      <c r="H3" s="17"/>
      <c r="I3" s="17"/>
      <c r="J3" s="1"/>
    </row>
    <row r="4" spans="1:10" x14ac:dyDescent="0.2">
      <c r="A4" s="19"/>
      <c r="B4" s="29" t="s">
        <v>66</v>
      </c>
      <c r="C4" s="17"/>
      <c r="D4" s="17"/>
      <c r="E4" s="17"/>
      <c r="F4" s="17"/>
      <c r="G4" s="17"/>
      <c r="H4" s="17"/>
      <c r="I4" s="17"/>
      <c r="J4" s="1"/>
    </row>
    <row r="5" spans="1:10" x14ac:dyDescent="0.2">
      <c r="A5" s="19"/>
      <c r="B5" s="17"/>
      <c r="C5" s="17"/>
      <c r="D5" s="17"/>
      <c r="E5" s="17"/>
      <c r="F5" s="17"/>
      <c r="G5" s="17"/>
      <c r="H5" s="17"/>
      <c r="I5" s="17"/>
      <c r="J5" s="1"/>
    </row>
    <row r="6" spans="1:10" x14ac:dyDescent="0.2">
      <c r="A6" s="19"/>
      <c r="B6" s="17"/>
      <c r="C6" s="17"/>
      <c r="D6" s="27" t="s">
        <v>18</v>
      </c>
      <c r="E6" s="60">
        <v>0.6</v>
      </c>
      <c r="F6" s="17"/>
      <c r="G6" s="17"/>
      <c r="H6" s="17"/>
      <c r="I6" s="17"/>
      <c r="J6" s="1"/>
    </row>
    <row r="7" spans="1:10" x14ac:dyDescent="0.2">
      <c r="A7" s="19"/>
      <c r="B7" s="17"/>
      <c r="C7" s="17"/>
      <c r="D7" s="27" t="s">
        <v>19</v>
      </c>
      <c r="E7" s="60">
        <v>1.75</v>
      </c>
      <c r="F7" s="17"/>
      <c r="G7" s="17"/>
      <c r="H7" s="17"/>
      <c r="I7" s="17"/>
      <c r="J7" s="1"/>
    </row>
    <row r="8" spans="1:10" x14ac:dyDescent="0.2">
      <c r="A8" s="19"/>
      <c r="B8" s="17"/>
      <c r="C8" s="17"/>
      <c r="D8" s="27" t="s">
        <v>34</v>
      </c>
      <c r="E8" s="33">
        <v>150000</v>
      </c>
      <c r="F8" s="17"/>
      <c r="G8" s="17"/>
      <c r="H8" s="17"/>
      <c r="I8" s="17"/>
      <c r="J8" s="1"/>
    </row>
    <row r="9" spans="1:10" x14ac:dyDescent="0.2">
      <c r="A9" s="19"/>
      <c r="B9" s="17"/>
      <c r="C9" s="17"/>
      <c r="D9" s="27" t="s">
        <v>20</v>
      </c>
      <c r="E9" s="33">
        <v>1000000</v>
      </c>
      <c r="F9" s="17"/>
      <c r="G9" s="17"/>
      <c r="H9" s="17"/>
      <c r="I9" s="17"/>
      <c r="J9" s="1"/>
    </row>
    <row r="10" spans="1:10" x14ac:dyDescent="0.2">
      <c r="A10" s="19"/>
      <c r="B10" s="17"/>
      <c r="C10" s="17"/>
      <c r="D10" s="17"/>
      <c r="E10" s="17"/>
      <c r="F10" s="17"/>
      <c r="G10" s="17"/>
      <c r="H10" s="17"/>
      <c r="I10" s="17"/>
      <c r="J10" s="1"/>
    </row>
    <row r="11" spans="1:10" x14ac:dyDescent="0.2">
      <c r="A11" s="19"/>
      <c r="B11" s="17" t="s">
        <v>109</v>
      </c>
      <c r="C11" s="17"/>
      <c r="D11" s="17"/>
      <c r="E11" s="17"/>
      <c r="F11" s="17"/>
      <c r="G11" s="17"/>
      <c r="H11" s="17"/>
      <c r="I11" s="17"/>
      <c r="J11" s="1"/>
    </row>
    <row r="12" spans="1:10" x14ac:dyDescent="0.2">
      <c r="A12" s="19"/>
      <c r="B12" s="17"/>
      <c r="C12" s="17"/>
      <c r="D12" s="27" t="s">
        <v>67</v>
      </c>
      <c r="E12" s="68">
        <v>80000000</v>
      </c>
      <c r="F12" s="17"/>
      <c r="G12" s="17"/>
      <c r="H12" s="17"/>
      <c r="I12" s="17"/>
      <c r="J12" s="1"/>
    </row>
    <row r="13" spans="1:10" x14ac:dyDescent="0.2">
      <c r="A13" s="19"/>
      <c r="B13" s="17"/>
      <c r="C13" s="17"/>
      <c r="D13" s="27" t="s">
        <v>68</v>
      </c>
      <c r="E13" s="68">
        <v>400000</v>
      </c>
      <c r="F13" s="17"/>
      <c r="G13" s="17"/>
      <c r="H13" s="17"/>
      <c r="I13" s="17"/>
      <c r="J13" s="1"/>
    </row>
    <row r="14" spans="1:10" x14ac:dyDescent="0.2">
      <c r="A14" s="19"/>
      <c r="B14" s="17"/>
      <c r="C14" s="17"/>
      <c r="D14" s="17"/>
      <c r="E14" s="17"/>
      <c r="F14" s="17"/>
      <c r="G14" s="17"/>
      <c r="H14" s="17"/>
      <c r="I14" s="17"/>
      <c r="J14" s="1"/>
    </row>
    <row r="15" spans="1:10" x14ac:dyDescent="0.2">
      <c r="A15" s="19"/>
      <c r="B15" s="17" t="s">
        <v>69</v>
      </c>
      <c r="C15" s="17"/>
      <c r="D15" s="17"/>
      <c r="E15" s="17"/>
      <c r="F15" s="17"/>
      <c r="G15" s="17"/>
      <c r="H15" s="17"/>
      <c r="I15" s="17"/>
      <c r="J15" s="1"/>
    </row>
    <row r="16" spans="1:10" x14ac:dyDescent="0.2">
      <c r="A16" s="19"/>
      <c r="B16" s="17"/>
      <c r="C16" s="17"/>
      <c r="D16" s="17"/>
      <c r="E16" s="17"/>
      <c r="F16" s="17"/>
      <c r="G16" s="17"/>
      <c r="H16" s="17"/>
      <c r="I16" s="17"/>
      <c r="J16" s="1"/>
    </row>
    <row r="17" spans="1:10" x14ac:dyDescent="0.2">
      <c r="A17" s="19"/>
      <c r="B17" s="17" t="s">
        <v>70</v>
      </c>
      <c r="C17" s="17"/>
      <c r="D17" s="17"/>
      <c r="E17" s="17"/>
      <c r="F17" s="17"/>
      <c r="G17" s="17"/>
      <c r="H17" s="17"/>
      <c r="I17" s="17"/>
      <c r="J17" s="1"/>
    </row>
    <row r="18" spans="1:10" x14ac:dyDescent="0.2">
      <c r="A18" s="19"/>
      <c r="B18" s="17" t="s">
        <v>71</v>
      </c>
      <c r="C18" s="17"/>
      <c r="D18" s="17"/>
      <c r="E18" s="17"/>
      <c r="F18" s="17"/>
      <c r="G18" s="17"/>
      <c r="H18" s="17"/>
      <c r="I18" s="17"/>
      <c r="J18" s="1"/>
    </row>
    <row r="19" spans="1:10" x14ac:dyDescent="0.2">
      <c r="A19" s="19"/>
      <c r="B19" s="17" t="s">
        <v>72</v>
      </c>
      <c r="C19" s="17"/>
      <c r="D19" s="17"/>
      <c r="E19" s="17"/>
      <c r="F19" s="17"/>
      <c r="G19" s="17"/>
      <c r="H19" s="17"/>
      <c r="I19" s="17"/>
      <c r="J19" s="1"/>
    </row>
    <row r="20" spans="1:10" x14ac:dyDescent="0.2">
      <c r="A20" s="19"/>
      <c r="B20" s="17"/>
      <c r="C20" s="17"/>
      <c r="D20" s="17"/>
      <c r="E20" s="17"/>
      <c r="F20" s="17"/>
      <c r="G20" s="17"/>
      <c r="H20" s="17"/>
      <c r="I20" s="17"/>
      <c r="J20" s="1"/>
    </row>
    <row r="21" spans="1:10" x14ac:dyDescent="0.2">
      <c r="A21" s="19"/>
      <c r="B21" s="17" t="s">
        <v>24</v>
      </c>
      <c r="C21" s="17"/>
      <c r="D21" s="17"/>
      <c r="E21" s="17"/>
      <c r="F21" s="17"/>
      <c r="G21" s="17"/>
      <c r="H21" s="17"/>
      <c r="I21" s="17"/>
      <c r="J21" s="1"/>
    </row>
    <row r="22" spans="1:10" x14ac:dyDescent="0.2">
      <c r="A22" s="19"/>
      <c r="B22" s="17"/>
      <c r="C22" s="17"/>
      <c r="D22" s="17"/>
      <c r="E22" s="17"/>
      <c r="F22" s="17"/>
      <c r="G22" s="17"/>
      <c r="H22" s="17"/>
      <c r="I22" s="17"/>
      <c r="J22" s="1"/>
    </row>
    <row r="23" spans="1:10" x14ac:dyDescent="0.2">
      <c r="A23" s="19"/>
      <c r="B23" s="17"/>
      <c r="C23" s="17"/>
      <c r="D23" s="51"/>
      <c r="E23" s="208" t="s">
        <v>26</v>
      </c>
      <c r="F23" s="17"/>
      <c r="G23" s="17"/>
      <c r="H23" s="17"/>
      <c r="I23" s="17"/>
      <c r="J23" s="1"/>
    </row>
    <row r="24" spans="1:10" x14ac:dyDescent="0.2">
      <c r="A24" s="19"/>
      <c r="B24" s="17"/>
      <c r="C24" s="17"/>
      <c r="D24" s="3" t="s">
        <v>27</v>
      </c>
      <c r="E24" s="211"/>
      <c r="F24" s="17"/>
      <c r="G24" s="17"/>
      <c r="H24" s="17"/>
      <c r="I24" s="17"/>
      <c r="J24" s="1"/>
    </row>
    <row r="25" spans="1:10" x14ac:dyDescent="0.2">
      <c r="A25" s="19"/>
      <c r="B25" s="17"/>
      <c r="C25" s="17"/>
      <c r="D25" s="2">
        <v>1</v>
      </c>
      <c r="E25" s="28">
        <v>50</v>
      </c>
      <c r="F25" s="17"/>
      <c r="G25" s="17"/>
      <c r="H25" s="17"/>
      <c r="I25" s="17"/>
      <c r="J25" s="1"/>
    </row>
    <row r="26" spans="1:10" x14ac:dyDescent="0.2">
      <c r="A26" s="19"/>
      <c r="B26" s="17"/>
      <c r="C26" s="17"/>
      <c r="D26" s="2">
        <v>2</v>
      </c>
      <c r="E26" s="28">
        <v>100</v>
      </c>
      <c r="F26" s="17"/>
      <c r="G26" s="17"/>
      <c r="H26" s="17"/>
      <c r="I26" s="17"/>
      <c r="J26" s="1"/>
    </row>
    <row r="27" spans="1:10" x14ac:dyDescent="0.2">
      <c r="A27" s="19"/>
      <c r="B27" s="17"/>
      <c r="C27" s="17"/>
      <c r="D27" s="2">
        <v>3</v>
      </c>
      <c r="E27" s="28">
        <v>80</v>
      </c>
      <c r="F27" s="17"/>
      <c r="G27" s="17"/>
      <c r="H27" s="17"/>
      <c r="I27" s="17"/>
      <c r="J27" s="1"/>
    </row>
    <row r="28" spans="1:10" x14ac:dyDescent="0.2">
      <c r="A28" s="19"/>
      <c r="B28" s="17"/>
      <c r="C28" s="17"/>
      <c r="D28" s="2">
        <v>4</v>
      </c>
      <c r="E28" s="28">
        <v>125</v>
      </c>
      <c r="F28" s="17"/>
      <c r="G28" s="17"/>
      <c r="H28" s="17"/>
      <c r="I28" s="17"/>
      <c r="J28" s="1"/>
    </row>
    <row r="29" spans="1:10" x14ac:dyDescent="0.2">
      <c r="A29" s="19"/>
      <c r="B29" s="17"/>
      <c r="C29" s="17"/>
      <c r="D29" s="2">
        <v>5</v>
      </c>
      <c r="E29" s="28">
        <v>300</v>
      </c>
      <c r="F29" s="17"/>
      <c r="G29" s="17"/>
      <c r="H29" s="17"/>
      <c r="I29" s="17"/>
      <c r="J29" s="1"/>
    </row>
    <row r="30" spans="1:10" x14ac:dyDescent="0.2">
      <c r="A30" s="19"/>
      <c r="B30" s="17"/>
      <c r="C30" s="17"/>
      <c r="D30" s="2">
        <v>6</v>
      </c>
      <c r="E30" s="28">
        <v>400</v>
      </c>
      <c r="F30" s="17"/>
      <c r="G30" s="17"/>
      <c r="H30" s="17"/>
      <c r="I30" s="17"/>
      <c r="J30" s="1"/>
    </row>
    <row r="31" spans="1:10" x14ac:dyDescent="0.2">
      <c r="A31" s="19"/>
      <c r="B31" s="17"/>
      <c r="C31" s="17"/>
      <c r="D31" s="2">
        <v>7</v>
      </c>
      <c r="E31" s="28">
        <v>90</v>
      </c>
      <c r="F31" s="17"/>
      <c r="G31" s="17"/>
      <c r="H31" s="17"/>
      <c r="I31" s="17"/>
      <c r="J31" s="1"/>
    </row>
    <row r="32" spans="1:10" x14ac:dyDescent="0.2">
      <c r="A32" s="19"/>
      <c r="B32" s="17"/>
      <c r="C32" s="17"/>
      <c r="D32" s="2">
        <v>8</v>
      </c>
      <c r="E32" s="38">
        <v>750</v>
      </c>
      <c r="F32" s="17"/>
      <c r="G32" s="17"/>
      <c r="H32" s="17"/>
      <c r="I32" s="17"/>
      <c r="J32" s="1"/>
    </row>
    <row r="33" spans="1:10" x14ac:dyDescent="0.2">
      <c r="A33" s="19"/>
      <c r="B33" s="17"/>
      <c r="C33" s="17"/>
      <c r="D33" s="2">
        <v>9</v>
      </c>
      <c r="E33" s="28">
        <v>25</v>
      </c>
      <c r="F33" s="17"/>
      <c r="G33" s="17"/>
      <c r="H33" s="17"/>
      <c r="I33" s="17"/>
      <c r="J33" s="1"/>
    </row>
    <row r="34" spans="1:10" x14ac:dyDescent="0.2">
      <c r="A34" s="19"/>
      <c r="B34" s="17"/>
      <c r="C34" s="17"/>
      <c r="D34" s="2">
        <v>10</v>
      </c>
      <c r="E34" s="28">
        <v>200</v>
      </c>
      <c r="F34" s="17"/>
      <c r="G34" s="17"/>
      <c r="H34" s="17"/>
      <c r="I34" s="17"/>
      <c r="J34" s="1"/>
    </row>
    <row r="35" spans="1:10" x14ac:dyDescent="0.2">
      <c r="A35" s="19"/>
      <c r="B35" s="17"/>
      <c r="C35" s="17"/>
      <c r="D35" s="2">
        <v>11</v>
      </c>
      <c r="E35" s="28">
        <v>150</v>
      </c>
      <c r="F35" s="17"/>
      <c r="G35" s="17"/>
      <c r="H35" s="17"/>
      <c r="I35" s="17"/>
      <c r="J35" s="1"/>
    </row>
    <row r="36" spans="1:10" x14ac:dyDescent="0.2">
      <c r="A36" s="19"/>
      <c r="B36" s="17"/>
      <c r="C36" s="17"/>
      <c r="D36" s="2">
        <v>12</v>
      </c>
      <c r="E36" s="28">
        <v>100</v>
      </c>
      <c r="F36" s="17"/>
      <c r="G36" s="17"/>
      <c r="H36" s="17"/>
      <c r="I36" s="17"/>
      <c r="J36" s="1"/>
    </row>
    <row r="37" spans="1:10" x14ac:dyDescent="0.2">
      <c r="A37" s="19"/>
      <c r="B37" s="17"/>
      <c r="C37" s="17"/>
      <c r="D37" s="2">
        <v>13</v>
      </c>
      <c r="E37" s="28">
        <v>125</v>
      </c>
      <c r="F37" s="17"/>
      <c r="G37" s="17"/>
      <c r="H37" s="17"/>
      <c r="I37" s="17"/>
      <c r="J37" s="1"/>
    </row>
    <row r="38" spans="1:10" x14ac:dyDescent="0.2">
      <c r="A38" s="19"/>
      <c r="B38" s="17"/>
      <c r="C38" s="17"/>
      <c r="D38" s="2">
        <v>14</v>
      </c>
      <c r="E38" s="28">
        <v>250</v>
      </c>
      <c r="F38" s="17"/>
      <c r="G38" s="17"/>
      <c r="H38" s="17"/>
      <c r="I38" s="17"/>
      <c r="J38" s="1"/>
    </row>
    <row r="39" spans="1:10" x14ac:dyDescent="0.2">
      <c r="A39" s="19"/>
      <c r="B39" s="17"/>
      <c r="C39" s="17"/>
      <c r="D39" s="2">
        <v>15</v>
      </c>
      <c r="E39" s="28">
        <v>35</v>
      </c>
      <c r="F39" s="17"/>
      <c r="G39" s="17"/>
      <c r="H39" s="17"/>
      <c r="I39" s="17"/>
      <c r="J39" s="1"/>
    </row>
    <row r="40" spans="1:10" x14ac:dyDescent="0.2">
      <c r="A40" s="19"/>
      <c r="B40" s="17"/>
      <c r="C40" s="17"/>
      <c r="D40" s="2">
        <v>16</v>
      </c>
      <c r="E40" s="28">
        <v>185</v>
      </c>
      <c r="F40" s="17"/>
      <c r="G40" s="17"/>
      <c r="H40" s="17"/>
      <c r="I40" s="17"/>
      <c r="J40" s="1"/>
    </row>
    <row r="41" spans="1:10" x14ac:dyDescent="0.2">
      <c r="A41" s="19"/>
      <c r="B41" s="17"/>
      <c r="C41" s="17"/>
      <c r="D41" s="2">
        <v>17</v>
      </c>
      <c r="E41" s="28">
        <v>100</v>
      </c>
      <c r="F41" s="17"/>
      <c r="G41" s="17"/>
      <c r="H41" s="17"/>
      <c r="I41" s="17"/>
      <c r="J41" s="1"/>
    </row>
    <row r="42" spans="1:10" x14ac:dyDescent="0.2">
      <c r="A42" s="19"/>
      <c r="B42" s="17"/>
      <c r="C42" s="17"/>
      <c r="D42" s="2">
        <v>18</v>
      </c>
      <c r="E42" s="28">
        <v>90</v>
      </c>
      <c r="F42" s="17"/>
      <c r="G42" s="17"/>
      <c r="H42" s="17"/>
      <c r="I42" s="17"/>
      <c r="J42" s="1"/>
    </row>
    <row r="43" spans="1:10" x14ac:dyDescent="0.2">
      <c r="A43" s="19"/>
      <c r="B43" s="17"/>
      <c r="C43" s="17"/>
      <c r="D43" s="2">
        <v>19</v>
      </c>
      <c r="E43" s="28">
        <v>15</v>
      </c>
      <c r="F43" s="17"/>
      <c r="G43" s="17"/>
      <c r="H43" s="17"/>
      <c r="I43" s="17"/>
      <c r="J43" s="1"/>
    </row>
    <row r="44" spans="1:10" x14ac:dyDescent="0.2">
      <c r="A44" s="19"/>
      <c r="B44" s="17"/>
      <c r="C44" s="17"/>
      <c r="D44" s="2">
        <v>20</v>
      </c>
      <c r="E44" s="28">
        <v>400</v>
      </c>
      <c r="F44" s="17"/>
      <c r="G44" s="17"/>
      <c r="H44" s="17"/>
      <c r="I44" s="17"/>
      <c r="J44" s="1"/>
    </row>
    <row r="45" spans="1:10" x14ac:dyDescent="0.2">
      <c r="A45" s="19"/>
      <c r="B45" s="17"/>
      <c r="C45" s="17"/>
      <c r="D45" s="17"/>
      <c r="E45" s="17"/>
      <c r="F45" s="17"/>
      <c r="G45" s="17"/>
      <c r="H45" s="17"/>
      <c r="I45" s="17"/>
      <c r="J45" s="1"/>
    </row>
    <row r="46" spans="1:10" x14ac:dyDescent="0.2">
      <c r="A46" s="19"/>
      <c r="B46" s="17" t="s">
        <v>0</v>
      </c>
      <c r="C46" s="17"/>
      <c r="D46" s="17"/>
      <c r="E46" s="17"/>
      <c r="F46" s="17"/>
      <c r="G46" s="17"/>
      <c r="H46" s="17"/>
      <c r="I46" s="17"/>
      <c r="J46" s="1"/>
    </row>
    <row r="47" spans="1:10" x14ac:dyDescent="0.2">
      <c r="A47" s="19"/>
      <c r="B47" s="17" t="s">
        <v>90</v>
      </c>
      <c r="C47" s="17"/>
      <c r="D47" s="17"/>
      <c r="E47" s="17"/>
      <c r="F47" s="17"/>
      <c r="G47" s="17"/>
      <c r="H47" s="17"/>
      <c r="I47" s="17"/>
      <c r="J47" s="1"/>
    </row>
    <row r="48" spans="1:10" x14ac:dyDescent="0.2">
      <c r="A48" s="19"/>
      <c r="B48" s="17"/>
      <c r="C48" s="17"/>
      <c r="D48" s="17"/>
      <c r="E48" s="17"/>
      <c r="F48" s="17"/>
      <c r="G48" s="17"/>
      <c r="H48" s="17"/>
      <c r="I48" s="17"/>
      <c r="J48" s="1"/>
    </row>
    <row r="49" spans="1:10" x14ac:dyDescent="0.2">
      <c r="A49" s="19"/>
      <c r="B49" s="17" t="s">
        <v>1</v>
      </c>
      <c r="C49" s="17"/>
      <c r="D49" s="17"/>
      <c r="E49" s="17"/>
      <c r="F49" s="17"/>
      <c r="G49" s="17"/>
      <c r="H49" s="17"/>
      <c r="I49" s="17"/>
      <c r="J49" s="1"/>
    </row>
    <row r="50" spans="1:10" x14ac:dyDescent="0.2">
      <c r="A50" s="19"/>
      <c r="B50" s="17" t="s">
        <v>73</v>
      </c>
      <c r="C50" s="17"/>
      <c r="D50" s="17"/>
      <c r="E50" s="17"/>
      <c r="F50" s="17"/>
      <c r="G50" s="17"/>
      <c r="H50" s="17"/>
      <c r="I50" s="17"/>
      <c r="J50" s="1"/>
    </row>
    <row r="51" spans="1:10" ht="17" thickBot="1" x14ac:dyDescent="0.25">
      <c r="A51" s="20"/>
      <c r="B51" s="6"/>
      <c r="C51" s="64"/>
      <c r="D51" s="64"/>
      <c r="E51" s="64"/>
      <c r="F51" s="6"/>
      <c r="G51" s="6"/>
      <c r="H51" s="6"/>
      <c r="I51" s="6"/>
      <c r="J51" s="7"/>
    </row>
    <row r="52" spans="1:10" x14ac:dyDescent="0.2">
      <c r="A52" s="4"/>
      <c r="B52" s="4"/>
      <c r="C52" s="4"/>
      <c r="D52" s="4"/>
      <c r="E52" s="4"/>
      <c r="F52" s="4"/>
      <c r="G52" s="4"/>
      <c r="H52" s="4"/>
      <c r="I52" s="4"/>
    </row>
    <row r="53" spans="1:10" ht="19" x14ac:dyDescent="0.25">
      <c r="A53" s="21" t="s">
        <v>3</v>
      </c>
      <c r="B53" s="4"/>
      <c r="C53" s="4"/>
      <c r="D53" s="4"/>
      <c r="E53" s="4"/>
      <c r="F53" s="4"/>
      <c r="G53" s="4"/>
      <c r="H53" s="4"/>
      <c r="I53" s="4"/>
    </row>
    <row r="54" spans="1:10" x14ac:dyDescent="0.2">
      <c r="A54" s="22"/>
      <c r="B54" s="4" t="s">
        <v>0</v>
      </c>
      <c r="C54" s="23"/>
      <c r="D54" s="4"/>
      <c r="E54" s="4"/>
      <c r="F54" s="4"/>
      <c r="G54" s="4"/>
      <c r="H54" s="4"/>
      <c r="I54" s="4"/>
    </row>
    <row r="55" spans="1:10" x14ac:dyDescent="0.2">
      <c r="A55" s="4"/>
      <c r="B55" s="4" t="s">
        <v>74</v>
      </c>
      <c r="C55" s="4"/>
      <c r="D55" s="4"/>
      <c r="E55" s="4"/>
      <c r="F55" s="4"/>
      <c r="G55" s="4"/>
      <c r="H55" s="4"/>
      <c r="I55" s="4"/>
    </row>
    <row r="56" spans="1:10" x14ac:dyDescent="0.2">
      <c r="A56" s="4"/>
      <c r="B56" s="4"/>
      <c r="C56" s="4"/>
      <c r="D56" s="4"/>
      <c r="E56" s="4"/>
      <c r="F56" s="4"/>
      <c r="G56" s="4"/>
      <c r="H56" s="4"/>
      <c r="I56" s="4"/>
    </row>
    <row r="57" spans="1:10" x14ac:dyDescent="0.2">
      <c r="A57" s="4"/>
      <c r="B57" s="4"/>
      <c r="C57" s="4"/>
      <c r="D57" s="4"/>
      <c r="E57" s="4"/>
      <c r="F57" s="4"/>
      <c r="G57" s="4"/>
      <c r="H57" s="4"/>
      <c r="I57" s="4"/>
    </row>
    <row r="58" spans="1:10" x14ac:dyDescent="0.2">
      <c r="A58" s="4"/>
      <c r="B58" s="4"/>
      <c r="C58" s="4"/>
      <c r="D58" s="4"/>
      <c r="E58" s="4"/>
      <c r="F58" s="4"/>
      <c r="G58" s="4"/>
      <c r="H58" s="4"/>
      <c r="I58" s="4"/>
    </row>
    <row r="59" spans="1:10" x14ac:dyDescent="0.2">
      <c r="A59" s="4"/>
      <c r="B59" s="4" t="s">
        <v>77</v>
      </c>
      <c r="C59" s="4"/>
      <c r="D59" s="4"/>
      <c r="E59" s="4"/>
      <c r="F59" s="4"/>
      <c r="G59" s="4"/>
      <c r="H59" s="4"/>
      <c r="I59" s="4"/>
    </row>
    <row r="60" spans="1:10" x14ac:dyDescent="0.2">
      <c r="A60" s="4"/>
      <c r="B60" s="4"/>
      <c r="C60" s="4"/>
      <c r="D60" s="4"/>
      <c r="E60" s="4"/>
      <c r="F60" s="4"/>
      <c r="G60" s="4"/>
      <c r="H60" s="4"/>
      <c r="I60" s="4"/>
    </row>
    <row r="61" spans="1:10" x14ac:dyDescent="0.2">
      <c r="A61" s="4"/>
      <c r="B61" s="4"/>
      <c r="C61" s="4"/>
      <c r="D61" s="4"/>
      <c r="E61" s="4"/>
      <c r="F61" s="4"/>
      <c r="G61" s="4"/>
      <c r="H61" s="4"/>
      <c r="I61" s="4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0" x14ac:dyDescent="0.2">
      <c r="A64" s="4"/>
      <c r="B64" s="4"/>
      <c r="C64" s="105" t="s">
        <v>78</v>
      </c>
      <c r="D64" s="15">
        <f>E12/E13</f>
        <v>200</v>
      </c>
      <c r="E64" s="4"/>
      <c r="F64" s="4"/>
      <c r="G64" s="4"/>
      <c r="H64" s="4"/>
      <c r="I64" s="4"/>
    </row>
    <row r="65" spans="1:12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12" x14ac:dyDescent="0.2">
      <c r="A66" s="4"/>
      <c r="B66" s="4" t="s">
        <v>75</v>
      </c>
      <c r="C66" s="4"/>
      <c r="D66" s="4"/>
      <c r="E66" s="4"/>
      <c r="F66" s="4"/>
      <c r="G66" s="4"/>
      <c r="H66" s="4"/>
      <c r="I66" s="4"/>
      <c r="L66" s="24"/>
    </row>
    <row r="67" spans="1:12" x14ac:dyDescent="0.2">
      <c r="A67" s="4"/>
      <c r="B67" s="4"/>
      <c r="C67" s="4"/>
      <c r="D67" s="4"/>
      <c r="E67" s="4"/>
      <c r="F67" s="4"/>
      <c r="G67" s="4"/>
      <c r="H67" s="4"/>
      <c r="I67" s="4"/>
      <c r="L67" s="24"/>
    </row>
    <row r="68" spans="1:12" x14ac:dyDescent="0.2">
      <c r="A68" s="4"/>
      <c r="B68" s="4"/>
      <c r="C68" s="53"/>
      <c r="D68" s="212" t="s">
        <v>26</v>
      </c>
      <c r="E68" s="216" t="s">
        <v>76</v>
      </c>
      <c r="F68" s="4"/>
      <c r="G68" s="4"/>
      <c r="H68" s="4"/>
      <c r="K68" s="24"/>
    </row>
    <row r="69" spans="1:12" x14ac:dyDescent="0.2">
      <c r="A69" s="4"/>
      <c r="B69" s="4"/>
      <c r="C69" s="37" t="s">
        <v>27</v>
      </c>
      <c r="D69" s="213"/>
      <c r="E69" s="217"/>
      <c r="F69" s="4"/>
      <c r="G69" s="4"/>
      <c r="H69" s="4"/>
      <c r="K69" s="24"/>
    </row>
    <row r="70" spans="1:12" x14ac:dyDescent="0.2">
      <c r="A70" s="4"/>
      <c r="B70" s="4"/>
      <c r="C70" s="50">
        <v>1</v>
      </c>
      <c r="D70" s="50">
        <f>E25</f>
        <v>50</v>
      </c>
      <c r="E70" s="63">
        <f>MIN(D70,E$8/1000)</f>
        <v>50</v>
      </c>
      <c r="F70" s="4"/>
      <c r="G70" s="4"/>
      <c r="H70" s="4"/>
      <c r="K70" s="24"/>
    </row>
    <row r="71" spans="1:12" x14ac:dyDescent="0.2">
      <c r="A71" s="4"/>
      <c r="B71" s="4"/>
      <c r="C71" s="50">
        <v>2</v>
      </c>
      <c r="D71" s="50">
        <f t="shared" ref="D71:D89" si="0">E26</f>
        <v>100</v>
      </c>
      <c r="E71" s="63">
        <f t="shared" ref="E71:E89" si="1">MIN(D71,E$8/1000)</f>
        <v>100</v>
      </c>
      <c r="F71" s="4"/>
      <c r="G71" s="4"/>
      <c r="H71" s="4"/>
      <c r="K71" s="24"/>
    </row>
    <row r="72" spans="1:12" x14ac:dyDescent="0.2">
      <c r="A72" s="4"/>
      <c r="B72" s="4"/>
      <c r="C72" s="50">
        <v>3</v>
      </c>
      <c r="D72" s="50">
        <f t="shared" si="0"/>
        <v>80</v>
      </c>
      <c r="E72" s="63">
        <f t="shared" si="1"/>
        <v>80</v>
      </c>
      <c r="F72" s="4"/>
      <c r="G72" s="4"/>
      <c r="H72" s="4"/>
      <c r="K72" s="24"/>
    </row>
    <row r="73" spans="1:12" x14ac:dyDescent="0.2">
      <c r="A73" s="4"/>
      <c r="B73" s="4"/>
      <c r="C73" s="50">
        <v>4</v>
      </c>
      <c r="D73" s="50">
        <f t="shared" si="0"/>
        <v>125</v>
      </c>
      <c r="E73" s="63">
        <f>MIN(D73,E$8/1000)</f>
        <v>125</v>
      </c>
      <c r="F73" s="4"/>
      <c r="G73" s="4"/>
      <c r="H73" s="4"/>
      <c r="K73" s="24"/>
    </row>
    <row r="74" spans="1:12" x14ac:dyDescent="0.2">
      <c r="A74" s="4"/>
      <c r="B74" s="4"/>
      <c r="C74" s="50">
        <v>5</v>
      </c>
      <c r="D74" s="50">
        <f t="shared" si="0"/>
        <v>300</v>
      </c>
      <c r="E74" s="63">
        <f t="shared" si="1"/>
        <v>150</v>
      </c>
      <c r="F74" s="4"/>
      <c r="G74" s="4"/>
      <c r="H74" s="4"/>
      <c r="K74" s="24"/>
    </row>
    <row r="75" spans="1:12" x14ac:dyDescent="0.2">
      <c r="A75" s="4"/>
      <c r="B75" s="4"/>
      <c r="C75" s="50">
        <v>6</v>
      </c>
      <c r="D75" s="50">
        <f t="shared" si="0"/>
        <v>400</v>
      </c>
      <c r="E75" s="63">
        <f t="shared" si="1"/>
        <v>150</v>
      </c>
      <c r="F75" s="4"/>
      <c r="G75" s="4"/>
      <c r="H75" s="4"/>
      <c r="K75" s="24"/>
    </row>
    <row r="76" spans="1:12" x14ac:dyDescent="0.2">
      <c r="A76" s="22"/>
      <c r="B76" s="4"/>
      <c r="C76" s="50">
        <v>7</v>
      </c>
      <c r="D76" s="50">
        <f t="shared" si="0"/>
        <v>90</v>
      </c>
      <c r="E76" s="63">
        <f t="shared" si="1"/>
        <v>90</v>
      </c>
      <c r="F76" s="4"/>
      <c r="G76" s="4"/>
      <c r="H76" s="4"/>
    </row>
    <row r="77" spans="1:12" x14ac:dyDescent="0.2">
      <c r="A77" s="4"/>
      <c r="B77" s="4"/>
      <c r="C77" s="50">
        <v>8</v>
      </c>
      <c r="D77" s="14">
        <f t="shared" si="0"/>
        <v>750</v>
      </c>
      <c r="E77" s="63">
        <f t="shared" si="1"/>
        <v>150</v>
      </c>
      <c r="F77" s="4"/>
      <c r="G77" s="4"/>
      <c r="H77" s="4"/>
    </row>
    <row r="78" spans="1:12" x14ac:dyDescent="0.2">
      <c r="A78" s="4"/>
      <c r="B78" s="4"/>
      <c r="C78" s="50">
        <v>9</v>
      </c>
      <c r="D78" s="50">
        <f t="shared" si="0"/>
        <v>25</v>
      </c>
      <c r="E78" s="63">
        <f t="shared" si="1"/>
        <v>25</v>
      </c>
      <c r="F78" s="4"/>
      <c r="G78" s="4"/>
      <c r="H78" s="4"/>
    </row>
    <row r="79" spans="1:12" x14ac:dyDescent="0.2">
      <c r="A79" s="4"/>
      <c r="B79" s="4"/>
      <c r="C79" s="50">
        <v>10</v>
      </c>
      <c r="D79" s="50">
        <f t="shared" si="0"/>
        <v>200</v>
      </c>
      <c r="E79" s="63">
        <f t="shared" si="1"/>
        <v>150</v>
      </c>
      <c r="F79" s="4"/>
      <c r="G79" s="4"/>
      <c r="H79" s="4"/>
    </row>
    <row r="80" spans="1:12" x14ac:dyDescent="0.2">
      <c r="A80" s="4"/>
      <c r="B80" s="4"/>
      <c r="C80" s="50">
        <v>11</v>
      </c>
      <c r="D80" s="50">
        <f t="shared" si="0"/>
        <v>150</v>
      </c>
      <c r="E80" s="63">
        <f t="shared" si="1"/>
        <v>150</v>
      </c>
      <c r="F80" s="4"/>
      <c r="G80" s="4"/>
      <c r="H80" s="4"/>
    </row>
    <row r="81" spans="1:14" x14ac:dyDescent="0.2">
      <c r="A81" s="4"/>
      <c r="B81" s="4"/>
      <c r="C81" s="50">
        <v>12</v>
      </c>
      <c r="D81" s="50">
        <f t="shared" si="0"/>
        <v>100</v>
      </c>
      <c r="E81" s="63">
        <f t="shared" si="1"/>
        <v>100</v>
      </c>
      <c r="F81" s="4"/>
      <c r="G81" s="4"/>
      <c r="H81" s="4"/>
    </row>
    <row r="82" spans="1:14" x14ac:dyDescent="0.2">
      <c r="A82" s="4"/>
      <c r="B82" s="4"/>
      <c r="C82" s="50">
        <v>13</v>
      </c>
      <c r="D82" s="50">
        <f t="shared" si="0"/>
        <v>125</v>
      </c>
      <c r="E82" s="63">
        <f t="shared" si="1"/>
        <v>125</v>
      </c>
      <c r="F82" s="4"/>
      <c r="G82" s="4"/>
      <c r="H82" s="4"/>
    </row>
    <row r="83" spans="1:14" x14ac:dyDescent="0.2">
      <c r="A83" s="4"/>
      <c r="B83" s="4"/>
      <c r="C83" s="50">
        <v>14</v>
      </c>
      <c r="D83" s="50">
        <f t="shared" si="0"/>
        <v>250</v>
      </c>
      <c r="E83" s="63">
        <f t="shared" si="1"/>
        <v>150</v>
      </c>
      <c r="F83" s="4"/>
      <c r="G83" s="4"/>
      <c r="H83" s="4"/>
    </row>
    <row r="84" spans="1:14" x14ac:dyDescent="0.2">
      <c r="A84" s="4"/>
      <c r="B84" s="4"/>
      <c r="C84" s="50">
        <v>15</v>
      </c>
      <c r="D84" s="50">
        <f t="shared" si="0"/>
        <v>35</v>
      </c>
      <c r="E84" s="63">
        <f t="shared" si="1"/>
        <v>35</v>
      </c>
      <c r="F84" s="4"/>
      <c r="G84" s="4"/>
      <c r="H84" s="4"/>
    </row>
    <row r="85" spans="1:14" x14ac:dyDescent="0.2">
      <c r="A85" s="4"/>
      <c r="B85" s="4"/>
      <c r="C85" s="50">
        <v>16</v>
      </c>
      <c r="D85" s="50">
        <f t="shared" si="0"/>
        <v>185</v>
      </c>
      <c r="E85" s="63">
        <f t="shared" si="1"/>
        <v>150</v>
      </c>
      <c r="F85" s="4"/>
      <c r="G85" s="4"/>
      <c r="H85" s="4"/>
    </row>
    <row r="86" spans="1:14" x14ac:dyDescent="0.2">
      <c r="A86" s="4"/>
      <c r="B86" s="4"/>
      <c r="C86" s="50">
        <v>17</v>
      </c>
      <c r="D86" s="50">
        <f t="shared" si="0"/>
        <v>100</v>
      </c>
      <c r="E86" s="63">
        <f t="shared" si="1"/>
        <v>100</v>
      </c>
      <c r="F86" s="4"/>
      <c r="G86" s="4"/>
      <c r="H86" s="4"/>
    </row>
    <row r="87" spans="1:14" x14ac:dyDescent="0.2">
      <c r="A87" s="22"/>
      <c r="B87" s="4"/>
      <c r="C87" s="50">
        <v>18</v>
      </c>
      <c r="D87" s="50">
        <f t="shared" si="0"/>
        <v>90</v>
      </c>
      <c r="E87" s="63">
        <f t="shared" si="1"/>
        <v>90</v>
      </c>
      <c r="F87" s="4"/>
      <c r="G87" s="4"/>
      <c r="H87" s="4"/>
    </row>
    <row r="88" spans="1:14" x14ac:dyDescent="0.2">
      <c r="A88" s="4"/>
      <c r="B88" s="4"/>
      <c r="C88" s="50">
        <v>19</v>
      </c>
      <c r="D88" s="50">
        <f t="shared" si="0"/>
        <v>15</v>
      </c>
      <c r="E88" s="63">
        <f t="shared" si="1"/>
        <v>15</v>
      </c>
      <c r="F88" s="4"/>
      <c r="G88" s="4"/>
      <c r="H88" s="4"/>
      <c r="K88" s="4"/>
      <c r="L88" s="23"/>
      <c r="M88" s="4"/>
    </row>
    <row r="89" spans="1:14" x14ac:dyDescent="0.2">
      <c r="A89" s="4"/>
      <c r="B89" s="4"/>
      <c r="C89" s="37">
        <v>20</v>
      </c>
      <c r="D89" s="37">
        <f t="shared" si="0"/>
        <v>400</v>
      </c>
      <c r="E89" s="109">
        <f t="shared" si="1"/>
        <v>150</v>
      </c>
      <c r="F89" s="4"/>
      <c r="G89" s="4"/>
      <c r="H89" s="4"/>
      <c r="K89" s="24"/>
      <c r="L89" s="24"/>
      <c r="M89" s="24"/>
    </row>
    <row r="90" spans="1:14" x14ac:dyDescent="0.2">
      <c r="A90" s="4"/>
      <c r="B90" s="4"/>
      <c r="C90" s="43" t="s">
        <v>4</v>
      </c>
      <c r="D90" s="14">
        <f>SUM(D70:D89)</f>
        <v>3570</v>
      </c>
      <c r="E90" s="15">
        <f t="shared" ref="E90" si="2">SUM(E70:E89)</f>
        <v>2135</v>
      </c>
      <c r="F90" s="4"/>
      <c r="G90" s="75"/>
      <c r="H90" s="4"/>
      <c r="K90" s="24"/>
      <c r="L90" s="24"/>
      <c r="M90" s="24"/>
    </row>
    <row r="91" spans="1:14" ht="17" thickBot="1" x14ac:dyDescent="0.25">
      <c r="A91" s="4"/>
      <c r="B91" s="4"/>
      <c r="C91" s="4"/>
      <c r="D91" s="4"/>
      <c r="E91" s="4"/>
      <c r="F91" s="4"/>
      <c r="G91" s="4"/>
      <c r="H91" s="4"/>
      <c r="I91" s="4"/>
      <c r="L91" s="24"/>
      <c r="M91" s="24"/>
      <c r="N91" s="24"/>
    </row>
    <row r="92" spans="1:14" ht="17" thickBot="1" x14ac:dyDescent="0.25">
      <c r="A92" s="4"/>
      <c r="B92" s="4"/>
      <c r="C92" s="46" t="s">
        <v>37</v>
      </c>
      <c r="D92" s="67">
        <f>MAX(E6,MIN((E90+D64)/(E9/1000+D64),E7))</f>
        <v>1.75</v>
      </c>
      <c r="E92" s="4" t="s">
        <v>79</v>
      </c>
      <c r="F92" s="4"/>
      <c r="G92" s="4"/>
      <c r="H92" s="4"/>
      <c r="I92" s="4"/>
      <c r="L92" s="24"/>
      <c r="M92" s="24"/>
      <c r="N92" s="24"/>
    </row>
    <row r="93" spans="1:14" x14ac:dyDescent="0.2">
      <c r="A93" s="4"/>
      <c r="B93" s="4"/>
      <c r="C93" s="4"/>
      <c r="D93" s="48"/>
      <c r="E93" s="4"/>
      <c r="F93" s="4"/>
      <c r="G93" s="4"/>
      <c r="H93" s="4"/>
      <c r="I93" s="4"/>
      <c r="L93" s="4"/>
      <c r="M93" s="23"/>
      <c r="N93" s="4"/>
    </row>
    <row r="94" spans="1:14" x14ac:dyDescent="0.2">
      <c r="A94" s="4"/>
      <c r="B94" s="4" t="s">
        <v>80</v>
      </c>
      <c r="C94" s="4"/>
      <c r="D94" s="4"/>
      <c r="E94" s="4"/>
      <c r="F94" s="4"/>
      <c r="G94" s="4"/>
      <c r="H94" s="4"/>
      <c r="I94" s="4"/>
      <c r="L94" s="4"/>
      <c r="M94" s="23"/>
      <c r="N94" s="4"/>
    </row>
    <row r="95" spans="1:14" x14ac:dyDescent="0.2">
      <c r="A95" s="4"/>
      <c r="B95" s="4"/>
      <c r="C95" s="4"/>
      <c r="D95" s="4"/>
      <c r="E95" s="4"/>
      <c r="F95" s="4"/>
      <c r="G95" s="4"/>
      <c r="H95" s="4"/>
      <c r="I95" s="4"/>
      <c r="L95" s="4"/>
      <c r="M95" s="23"/>
      <c r="N95" s="4"/>
    </row>
    <row r="96" spans="1:14" x14ac:dyDescent="0.2">
      <c r="A96" s="4"/>
      <c r="B96" s="226" t="s">
        <v>81</v>
      </c>
      <c r="C96" s="227"/>
      <c r="D96" s="226" t="s">
        <v>82</v>
      </c>
      <c r="E96" s="226"/>
      <c r="F96" s="4"/>
      <c r="G96" s="4"/>
      <c r="H96" s="4"/>
      <c r="I96" s="4"/>
      <c r="L96" s="4"/>
      <c r="M96" s="23"/>
      <c r="N96" s="4"/>
    </row>
    <row r="97" spans="1:14" x14ac:dyDescent="0.2">
      <c r="A97" s="4"/>
      <c r="B97" s="223" t="s">
        <v>83</v>
      </c>
      <c r="C97" s="224"/>
      <c r="D97" s="225">
        <v>-0.01</v>
      </c>
      <c r="E97" s="225"/>
      <c r="F97" s="4"/>
      <c r="G97" s="4"/>
      <c r="H97" s="4"/>
      <c r="I97" s="4"/>
      <c r="L97" s="4"/>
      <c r="M97" s="23"/>
      <c r="N97" s="4"/>
    </row>
    <row r="98" spans="1:14" x14ac:dyDescent="0.2">
      <c r="A98" s="4"/>
      <c r="B98" s="223" t="s">
        <v>84</v>
      </c>
      <c r="C98" s="224"/>
      <c r="D98" s="225">
        <v>0.04</v>
      </c>
      <c r="E98" s="225"/>
      <c r="F98" s="4"/>
      <c r="G98" s="4"/>
      <c r="H98" s="4"/>
      <c r="I98" s="4"/>
      <c r="L98" s="4"/>
      <c r="M98" s="23"/>
      <c r="N98" s="4"/>
    </row>
    <row r="99" spans="1:14" x14ac:dyDescent="0.2">
      <c r="A99" s="4"/>
      <c r="B99" s="223" t="s">
        <v>85</v>
      </c>
      <c r="C99" s="224"/>
      <c r="D99" s="225">
        <v>0</v>
      </c>
      <c r="E99" s="225"/>
      <c r="F99" s="4"/>
      <c r="G99" s="4"/>
      <c r="H99" s="4"/>
      <c r="I99" s="4"/>
      <c r="L99" s="4"/>
      <c r="M99" s="23"/>
      <c r="N99" s="4"/>
    </row>
    <row r="100" spans="1:14" x14ac:dyDescent="0.2">
      <c r="A100" s="4"/>
      <c r="B100" s="220" t="s">
        <v>4</v>
      </c>
      <c r="C100" s="221"/>
      <c r="D100" s="222">
        <f>SUM(D97:E99)</f>
        <v>0.03</v>
      </c>
      <c r="E100" s="220"/>
      <c r="F100" s="4"/>
      <c r="G100" s="4"/>
      <c r="H100" s="4"/>
      <c r="I100" s="4"/>
      <c r="L100" s="4"/>
      <c r="M100" s="23"/>
      <c r="N100" s="4"/>
    </row>
    <row r="101" spans="1:14" x14ac:dyDescent="0.2">
      <c r="A101" s="4"/>
      <c r="B101" s="69"/>
      <c r="C101" s="69"/>
      <c r="D101" s="70"/>
      <c r="E101" s="69"/>
      <c r="F101" s="4"/>
      <c r="G101" s="4"/>
      <c r="H101" s="4"/>
      <c r="I101" s="4"/>
      <c r="L101" s="4"/>
      <c r="M101" s="23"/>
      <c r="N101" s="4"/>
    </row>
    <row r="102" spans="1:14" x14ac:dyDescent="0.2">
      <c r="A102" s="4"/>
      <c r="B102" s="71" t="s">
        <v>86</v>
      </c>
      <c r="C102" s="69"/>
      <c r="D102" s="70"/>
      <c r="E102" s="69"/>
      <c r="F102" s="4"/>
      <c r="G102" s="4"/>
      <c r="H102" s="4"/>
      <c r="I102" s="4"/>
      <c r="L102" s="4"/>
      <c r="M102" s="23"/>
      <c r="N102" s="4"/>
    </row>
    <row r="103" spans="1:14" x14ac:dyDescent="0.2">
      <c r="A103" s="4"/>
      <c r="B103" s="71" t="s">
        <v>87</v>
      </c>
      <c r="C103" s="69"/>
      <c r="D103" s="70"/>
      <c r="E103" s="69"/>
      <c r="F103" s="4"/>
      <c r="G103" s="4"/>
      <c r="H103" s="4"/>
      <c r="I103" s="4"/>
      <c r="L103" s="4"/>
      <c r="M103" s="23"/>
      <c r="N103" s="4"/>
    </row>
    <row r="104" spans="1:14" x14ac:dyDescent="0.2">
      <c r="A104" s="4"/>
      <c r="B104" s="71" t="s">
        <v>88</v>
      </c>
      <c r="C104" s="69"/>
      <c r="D104" s="70"/>
      <c r="E104" s="69"/>
      <c r="F104" s="4"/>
      <c r="G104" s="4"/>
      <c r="H104" s="4"/>
      <c r="I104" s="4"/>
      <c r="L104" s="4"/>
      <c r="M104" s="23"/>
      <c r="N104" s="4"/>
    </row>
    <row r="105" spans="1:14" x14ac:dyDescent="0.2">
      <c r="A105" s="4"/>
      <c r="B105" s="69"/>
      <c r="C105" s="69"/>
      <c r="D105" s="70"/>
      <c r="E105" s="69"/>
      <c r="F105" s="4"/>
      <c r="G105" s="4"/>
      <c r="H105" s="4"/>
      <c r="I105" s="4"/>
      <c r="L105" s="4"/>
      <c r="M105" s="23"/>
      <c r="N105" s="4"/>
    </row>
    <row r="106" spans="1:14" x14ac:dyDescent="0.2">
      <c r="A106" s="4"/>
      <c r="B106" s="72" t="s">
        <v>131</v>
      </c>
      <c r="C106" s="4"/>
      <c r="D106" s="4"/>
      <c r="E106" s="4"/>
      <c r="F106" s="4"/>
      <c r="G106" s="4"/>
      <c r="H106" s="4"/>
      <c r="I106" s="4"/>
      <c r="L106" s="4"/>
      <c r="M106" s="23"/>
      <c r="N106" s="4"/>
    </row>
    <row r="107" spans="1:14" ht="17" thickBot="1" x14ac:dyDescent="0.25">
      <c r="A107" s="4"/>
      <c r="B107" s="4"/>
      <c r="C107" s="4"/>
      <c r="D107" s="4"/>
      <c r="E107" s="4"/>
      <c r="F107" s="4"/>
      <c r="G107" s="4"/>
      <c r="H107" s="4"/>
      <c r="I107" s="4"/>
      <c r="L107" s="4"/>
      <c r="M107" s="23"/>
      <c r="N107" s="4"/>
    </row>
    <row r="108" spans="1:14" ht="17" thickBot="1" x14ac:dyDescent="0.25">
      <c r="A108" s="4"/>
      <c r="B108" s="4"/>
      <c r="C108" s="46" t="s">
        <v>91</v>
      </c>
      <c r="D108" s="73">
        <f>(D92)*(1+D100)</f>
        <v>1.8025</v>
      </c>
      <c r="E108" s="4"/>
      <c r="F108" s="4"/>
      <c r="G108" s="4"/>
      <c r="H108" s="4"/>
      <c r="I108" s="4"/>
      <c r="L108" s="4"/>
      <c r="M108" s="23"/>
      <c r="N108" s="4"/>
    </row>
    <row r="109" spans="1:14" x14ac:dyDescent="0.2">
      <c r="A109" s="4"/>
      <c r="B109" s="4"/>
      <c r="C109" s="4"/>
      <c r="D109" s="4"/>
      <c r="E109" s="4"/>
      <c r="F109" s="4"/>
      <c r="G109" s="4"/>
      <c r="H109" s="4"/>
      <c r="I109" s="4"/>
      <c r="L109" s="4"/>
      <c r="M109" s="23"/>
      <c r="N109" s="4"/>
    </row>
    <row r="110" spans="1:14" x14ac:dyDescent="0.2">
      <c r="A110" s="4"/>
      <c r="B110" s="4" t="s">
        <v>1</v>
      </c>
      <c r="C110" s="4"/>
      <c r="D110" s="4"/>
      <c r="E110" s="4"/>
      <c r="F110" s="4"/>
      <c r="G110" s="4"/>
      <c r="H110" s="4"/>
      <c r="I110" s="4"/>
      <c r="L110" s="24"/>
      <c r="M110" s="24"/>
      <c r="N110" s="24"/>
    </row>
    <row r="111" spans="1:14" x14ac:dyDescent="0.2">
      <c r="A111" s="4"/>
      <c r="B111" s="4" t="s">
        <v>92</v>
      </c>
      <c r="C111" s="4"/>
      <c r="D111" s="4"/>
      <c r="E111" s="4"/>
      <c r="F111" s="4"/>
      <c r="G111" s="4"/>
      <c r="H111" s="4"/>
      <c r="I111" s="4"/>
      <c r="L111" s="24"/>
      <c r="M111" s="24"/>
      <c r="N111" s="24"/>
    </row>
    <row r="112" spans="1:14" x14ac:dyDescent="0.2">
      <c r="A112" s="4"/>
      <c r="B112" s="4"/>
      <c r="C112" s="4"/>
      <c r="D112" s="4"/>
      <c r="E112" s="4"/>
      <c r="F112" s="4"/>
      <c r="G112" s="4"/>
      <c r="H112" s="4"/>
      <c r="I112" s="4"/>
      <c r="L112" s="24"/>
      <c r="M112" s="24"/>
      <c r="N112" s="24"/>
    </row>
    <row r="113" spans="1:14" x14ac:dyDescent="0.2">
      <c r="A113" s="4"/>
      <c r="B113" s="182" t="s">
        <v>447</v>
      </c>
      <c r="C113" s="4"/>
      <c r="D113" s="4"/>
      <c r="E113" s="4"/>
      <c r="F113" s="4"/>
      <c r="G113" s="4"/>
      <c r="H113" s="4"/>
      <c r="I113" s="4"/>
      <c r="L113" s="24"/>
      <c r="M113" s="24"/>
      <c r="N113" s="24"/>
    </row>
    <row r="114" spans="1:14" x14ac:dyDescent="0.2">
      <c r="A114" s="4"/>
      <c r="B114" s="182" t="s">
        <v>95</v>
      </c>
      <c r="C114" s="4"/>
      <c r="D114" s="4"/>
      <c r="E114" s="4"/>
      <c r="F114" s="4"/>
      <c r="G114" s="4"/>
      <c r="H114" s="4"/>
      <c r="I114" s="4"/>
      <c r="L114" s="24"/>
      <c r="M114" s="24"/>
      <c r="N114" s="24"/>
    </row>
    <row r="115" spans="1:14" x14ac:dyDescent="0.2">
      <c r="A115" s="4"/>
      <c r="B115" s="74" t="s">
        <v>96</v>
      </c>
      <c r="C115" s="4"/>
      <c r="D115" s="4"/>
      <c r="E115" s="4"/>
      <c r="F115" s="4"/>
      <c r="G115" s="4"/>
      <c r="H115" s="4"/>
      <c r="I115" s="4"/>
      <c r="L115" s="24"/>
      <c r="M115" s="24"/>
      <c r="N115" s="24"/>
    </row>
    <row r="116" spans="1:14" x14ac:dyDescent="0.2">
      <c r="A116" s="4"/>
      <c r="B116" s="4"/>
      <c r="C116" s="4"/>
      <c r="D116" s="4"/>
      <c r="E116" s="4"/>
      <c r="F116" s="4"/>
      <c r="G116" s="4"/>
      <c r="H116" s="4"/>
      <c r="I116" s="4"/>
      <c r="L116" s="24"/>
      <c r="M116" s="24"/>
      <c r="N116" s="24"/>
    </row>
    <row r="117" spans="1:14" ht="19" x14ac:dyDescent="0.25">
      <c r="A117" s="21" t="s">
        <v>5</v>
      </c>
      <c r="B117" s="4"/>
      <c r="C117" s="4"/>
      <c r="D117" s="4"/>
      <c r="E117" s="4"/>
      <c r="F117" s="4"/>
      <c r="G117" s="4"/>
      <c r="H117" s="4"/>
      <c r="I117" s="4"/>
      <c r="L117" s="24"/>
      <c r="M117" s="24"/>
      <c r="N117" s="24"/>
    </row>
    <row r="118" spans="1:14" x14ac:dyDescent="0.2">
      <c r="A118" s="4" t="s">
        <v>97</v>
      </c>
      <c r="B118" s="4"/>
      <c r="C118" s="4"/>
      <c r="D118" s="4"/>
      <c r="E118" s="4"/>
      <c r="F118" s="4"/>
      <c r="G118" s="4"/>
      <c r="H118" s="4"/>
      <c r="I118" s="4"/>
      <c r="L118" s="24"/>
      <c r="M118" s="24"/>
      <c r="N118" s="24"/>
    </row>
    <row r="119" spans="1:14" x14ac:dyDescent="0.2">
      <c r="A119" s="4" t="s">
        <v>98</v>
      </c>
      <c r="B119" s="4"/>
      <c r="C119" s="4"/>
      <c r="D119" s="4"/>
      <c r="E119" s="4"/>
      <c r="F119" s="4"/>
      <c r="G119" s="4"/>
      <c r="H119" s="4"/>
      <c r="I119" s="4"/>
      <c r="L119" s="24"/>
      <c r="M119" s="24"/>
      <c r="N119" s="24"/>
    </row>
    <row r="120" spans="1:14" x14ac:dyDescent="0.2">
      <c r="A120" s="4"/>
      <c r="B120" s="4"/>
      <c r="C120" s="4"/>
      <c r="D120" s="4"/>
      <c r="E120" s="4"/>
      <c r="F120" s="4"/>
      <c r="G120" s="4"/>
      <c r="H120" s="4"/>
      <c r="I120" s="4"/>
      <c r="L120" s="24"/>
      <c r="M120" s="24"/>
      <c r="N120" s="24"/>
    </row>
    <row r="121" spans="1:14" x14ac:dyDescent="0.2">
      <c r="A121" s="4" t="s">
        <v>101</v>
      </c>
      <c r="B121" s="4"/>
      <c r="C121" s="4"/>
      <c r="D121" s="4"/>
      <c r="E121" s="4"/>
      <c r="F121" s="4"/>
      <c r="G121" s="4"/>
      <c r="H121" s="4"/>
      <c r="I121" s="4"/>
      <c r="L121" s="24"/>
      <c r="M121" s="24"/>
      <c r="N121" s="24"/>
    </row>
    <row r="122" spans="1:14" x14ac:dyDescent="0.2">
      <c r="A122" s="4" t="s">
        <v>103</v>
      </c>
      <c r="B122" s="4"/>
      <c r="C122" s="4"/>
      <c r="D122" s="4"/>
      <c r="E122" s="4"/>
      <c r="F122" s="4"/>
      <c r="G122" s="4"/>
      <c r="H122" s="4"/>
      <c r="I122" s="4"/>
      <c r="L122" s="24"/>
      <c r="M122" s="24"/>
      <c r="N122" s="24"/>
    </row>
    <row r="123" spans="1:14" x14ac:dyDescent="0.2">
      <c r="A123" s="4" t="s">
        <v>102</v>
      </c>
      <c r="B123" s="4"/>
      <c r="C123" s="4"/>
      <c r="D123" s="4"/>
      <c r="E123" s="4"/>
      <c r="F123" s="4"/>
      <c r="G123" s="4"/>
      <c r="H123" s="4"/>
      <c r="I123" s="4"/>
      <c r="L123" s="24"/>
      <c r="M123" s="24"/>
      <c r="N123" s="24"/>
    </row>
    <row r="124" spans="1:14" x14ac:dyDescent="0.2">
      <c r="A124" s="4"/>
      <c r="B124" s="4"/>
      <c r="C124" s="4"/>
      <c r="D124" s="4"/>
      <c r="E124" s="4"/>
      <c r="F124" s="4"/>
      <c r="G124" s="4"/>
      <c r="H124" s="4"/>
      <c r="I124" s="4"/>
      <c r="L124" s="24"/>
      <c r="M124" s="24"/>
      <c r="N124" s="24"/>
    </row>
    <row r="125" spans="1:14" ht="19" x14ac:dyDescent="0.25">
      <c r="A125" s="21" t="s">
        <v>6</v>
      </c>
      <c r="B125" s="4"/>
      <c r="C125" s="4"/>
      <c r="D125" s="4"/>
      <c r="E125" s="4"/>
      <c r="F125" s="4"/>
      <c r="G125" s="4"/>
      <c r="H125" s="4"/>
      <c r="I125" s="4"/>
      <c r="L125" s="24"/>
      <c r="M125" s="24"/>
      <c r="N125" s="24"/>
    </row>
    <row r="126" spans="1:14" x14ac:dyDescent="0.2">
      <c r="A126" s="4" t="s">
        <v>99</v>
      </c>
      <c r="B126" s="4"/>
      <c r="C126" s="4"/>
      <c r="D126" s="4"/>
      <c r="E126" s="4"/>
      <c r="F126" s="4"/>
      <c r="G126" s="4"/>
      <c r="H126" s="4"/>
      <c r="I126" s="4"/>
      <c r="L126" s="24"/>
      <c r="M126" s="24"/>
      <c r="N126" s="24"/>
    </row>
    <row r="127" spans="1:14" x14ac:dyDescent="0.2">
      <c r="A127" s="4" t="s">
        <v>100</v>
      </c>
      <c r="B127" s="4"/>
      <c r="C127" s="4"/>
      <c r="D127" s="4"/>
      <c r="E127" s="4"/>
      <c r="F127" s="4"/>
      <c r="G127" s="4"/>
      <c r="H127" s="4"/>
      <c r="I127" s="4"/>
      <c r="L127" s="24"/>
      <c r="M127" s="24"/>
      <c r="N127" s="24"/>
    </row>
    <row r="128" spans="1:14" x14ac:dyDescent="0.2">
      <c r="A128" s="4"/>
      <c r="B128" s="4"/>
      <c r="C128" s="4"/>
      <c r="D128" s="4"/>
      <c r="E128" s="4"/>
      <c r="F128" s="4"/>
      <c r="G128" s="4"/>
      <c r="H128" s="4"/>
      <c r="I128" s="4"/>
      <c r="L128" s="24"/>
      <c r="M128" s="24"/>
      <c r="N128" s="24"/>
    </row>
    <row r="129" spans="1:14" x14ac:dyDescent="0.2">
      <c r="A129" s="4"/>
      <c r="B129" s="4"/>
      <c r="C129" s="4"/>
      <c r="D129" s="4"/>
      <c r="E129" s="4"/>
      <c r="F129" s="4"/>
      <c r="G129" s="4"/>
      <c r="H129" s="4"/>
      <c r="I129" s="4"/>
      <c r="L129" s="4"/>
      <c r="M129" s="23"/>
      <c r="N129" s="4"/>
    </row>
    <row r="130" spans="1:14" x14ac:dyDescent="0.2">
      <c r="A130" s="4"/>
      <c r="B130" s="4"/>
      <c r="C130" s="4"/>
      <c r="D130" s="4"/>
      <c r="E130" s="4"/>
      <c r="F130" s="4"/>
      <c r="G130" s="4"/>
      <c r="H130" s="4"/>
      <c r="I130" s="4"/>
      <c r="L130" s="24"/>
      <c r="M130" s="24"/>
      <c r="N130" s="24"/>
    </row>
    <row r="131" spans="1:14" x14ac:dyDescent="0.2">
      <c r="A131" s="4"/>
      <c r="B131" s="4"/>
      <c r="C131" s="4"/>
      <c r="D131" s="4"/>
      <c r="E131" s="4"/>
      <c r="F131" s="4"/>
      <c r="G131" s="4"/>
      <c r="H131" s="4"/>
      <c r="I131" s="4"/>
      <c r="L131" s="24"/>
      <c r="M131" s="24"/>
      <c r="N131" s="24"/>
    </row>
    <row r="132" spans="1:14" x14ac:dyDescent="0.2">
      <c r="A132" s="4"/>
      <c r="B132" s="4"/>
      <c r="C132" s="4"/>
      <c r="D132" s="4"/>
      <c r="E132" s="4"/>
      <c r="F132" s="4"/>
      <c r="G132" s="4"/>
      <c r="H132" s="4"/>
      <c r="I132" s="4"/>
      <c r="L132" s="24"/>
      <c r="M132" s="24"/>
      <c r="N132" s="24"/>
    </row>
    <row r="133" spans="1:14" x14ac:dyDescent="0.2">
      <c r="A133" s="4"/>
      <c r="B133" s="4"/>
      <c r="C133" s="4"/>
      <c r="D133" s="4"/>
      <c r="E133" s="4"/>
      <c r="F133" s="4"/>
      <c r="G133" s="4"/>
      <c r="H133" s="4"/>
      <c r="I133" s="4"/>
      <c r="L133" s="24"/>
      <c r="M133" s="24"/>
      <c r="N133" s="24"/>
    </row>
    <row r="134" spans="1:14" x14ac:dyDescent="0.2">
      <c r="A134" s="4"/>
      <c r="B134" s="4"/>
      <c r="C134" s="4"/>
      <c r="D134" s="4"/>
      <c r="E134" s="4"/>
      <c r="F134" s="4"/>
      <c r="G134" s="4"/>
      <c r="H134" s="4"/>
      <c r="I134" s="4"/>
      <c r="L134" s="24"/>
      <c r="M134" s="24"/>
      <c r="N134" s="24"/>
    </row>
    <row r="135" spans="1:14" x14ac:dyDescent="0.2">
      <c r="A135" s="4"/>
      <c r="B135" s="4"/>
      <c r="C135" s="4"/>
      <c r="D135" s="4"/>
      <c r="E135" s="4"/>
      <c r="F135" s="4"/>
      <c r="G135" s="4"/>
      <c r="H135" s="4"/>
      <c r="I135" s="4"/>
      <c r="L135" s="24"/>
      <c r="M135" s="24"/>
      <c r="N135" s="24"/>
    </row>
    <row r="136" spans="1:14" x14ac:dyDescent="0.2">
      <c r="A136" s="4"/>
      <c r="B136" s="4"/>
      <c r="C136" s="4"/>
      <c r="D136" s="4"/>
      <c r="E136" s="4"/>
      <c r="F136" s="4"/>
      <c r="G136" s="4"/>
      <c r="H136" s="4"/>
      <c r="I136" s="4"/>
      <c r="L136" s="24"/>
      <c r="M136" s="24"/>
      <c r="N136" s="24"/>
    </row>
    <row r="137" spans="1:14" x14ac:dyDescent="0.2">
      <c r="A137" s="4"/>
      <c r="B137" s="4"/>
      <c r="C137" s="4"/>
      <c r="D137" s="4"/>
      <c r="E137" s="4"/>
      <c r="F137" s="4"/>
      <c r="G137" s="4"/>
      <c r="H137" s="4"/>
      <c r="I137" s="4"/>
      <c r="L137" s="24"/>
      <c r="M137" s="24"/>
      <c r="N137" s="24"/>
    </row>
    <row r="138" spans="1:14" x14ac:dyDescent="0.2">
      <c r="A138" s="4"/>
      <c r="B138" s="4"/>
      <c r="C138" s="4"/>
      <c r="D138" s="4"/>
      <c r="E138" s="4"/>
      <c r="F138" s="4"/>
      <c r="G138" s="4"/>
      <c r="H138" s="4"/>
      <c r="I138" s="4"/>
      <c r="L138" s="24"/>
      <c r="M138" s="24"/>
      <c r="N138" s="24"/>
    </row>
    <row r="139" spans="1:14" x14ac:dyDescent="0.2">
      <c r="A139" s="4"/>
      <c r="B139" s="4"/>
      <c r="C139" s="4"/>
      <c r="D139" s="4"/>
      <c r="E139" s="4"/>
      <c r="F139" s="4"/>
      <c r="G139" s="4"/>
      <c r="H139" s="4"/>
      <c r="I139" s="4"/>
      <c r="L139" s="4"/>
      <c r="M139" s="23"/>
      <c r="N139" s="4"/>
    </row>
    <row r="140" spans="1:14" x14ac:dyDescent="0.2">
      <c r="A140" s="4"/>
      <c r="B140" s="4"/>
      <c r="C140" s="4"/>
      <c r="D140" s="4"/>
      <c r="E140" s="4"/>
      <c r="F140" s="4"/>
      <c r="G140" s="4"/>
      <c r="H140" s="4"/>
      <c r="I140" s="4"/>
      <c r="L140" s="24"/>
      <c r="M140" s="24"/>
      <c r="N140" s="24"/>
    </row>
    <row r="141" spans="1:14" x14ac:dyDescent="0.2">
      <c r="A141" s="4"/>
      <c r="B141" s="4"/>
      <c r="C141" s="4"/>
      <c r="D141" s="4"/>
      <c r="E141" s="4"/>
      <c r="F141" s="4"/>
      <c r="G141" s="4"/>
      <c r="H141" s="4"/>
      <c r="I141" s="4"/>
      <c r="L141" s="24"/>
      <c r="M141" s="24"/>
      <c r="N141" s="24"/>
    </row>
    <row r="142" spans="1:14" x14ac:dyDescent="0.2">
      <c r="A142" s="4"/>
      <c r="B142" s="4"/>
      <c r="C142" s="4"/>
      <c r="D142" s="4"/>
      <c r="E142" s="4"/>
      <c r="F142" s="4"/>
      <c r="G142" s="4"/>
      <c r="H142" s="4"/>
      <c r="I142" s="4"/>
      <c r="L142" s="24"/>
      <c r="M142" s="24"/>
      <c r="N142" s="24"/>
    </row>
    <row r="143" spans="1:14" x14ac:dyDescent="0.2">
      <c r="A143" s="4"/>
      <c r="B143" s="4"/>
      <c r="C143" s="4"/>
      <c r="D143" s="4"/>
      <c r="E143" s="4"/>
      <c r="F143" s="4"/>
      <c r="G143" s="4"/>
      <c r="H143" s="4"/>
      <c r="I143" s="4"/>
      <c r="L143" s="24"/>
      <c r="M143" s="24"/>
      <c r="N143" s="24"/>
    </row>
    <row r="144" spans="1:14" x14ac:dyDescent="0.2">
      <c r="A144" s="4"/>
      <c r="B144" s="4"/>
      <c r="C144" s="4"/>
      <c r="D144" s="4"/>
      <c r="E144" s="4"/>
      <c r="F144" s="4"/>
      <c r="G144" s="4"/>
      <c r="H144" s="4"/>
      <c r="I144" s="4"/>
      <c r="L144" s="24"/>
      <c r="M144" s="24"/>
      <c r="N144" s="24"/>
    </row>
    <row r="145" spans="1:65" x14ac:dyDescent="0.2">
      <c r="A145" s="4"/>
      <c r="B145" s="4"/>
      <c r="C145" s="4"/>
      <c r="D145" s="4"/>
      <c r="E145" s="4"/>
      <c r="F145" s="4"/>
      <c r="G145" s="4"/>
      <c r="H145" s="4"/>
      <c r="I145" s="4"/>
      <c r="L145" s="24"/>
      <c r="M145" s="24"/>
      <c r="N145" s="24"/>
    </row>
    <row r="146" spans="1:65" x14ac:dyDescent="0.2">
      <c r="A146" s="4"/>
      <c r="B146" s="4"/>
      <c r="C146" s="4"/>
      <c r="D146" s="4"/>
      <c r="E146" s="4"/>
      <c r="F146" s="4"/>
      <c r="G146" s="4"/>
      <c r="H146" s="4"/>
      <c r="I146" s="4"/>
      <c r="L146" s="24"/>
      <c r="M146" s="24"/>
      <c r="N146" s="24"/>
    </row>
    <row r="147" spans="1:65" x14ac:dyDescent="0.2">
      <c r="A147" s="4"/>
      <c r="B147" s="4"/>
      <c r="C147" s="4"/>
      <c r="D147" s="4"/>
      <c r="E147" s="4"/>
      <c r="F147" s="4"/>
      <c r="G147" s="4"/>
      <c r="H147" s="4"/>
      <c r="I147" s="4"/>
      <c r="L147" s="24"/>
      <c r="M147" s="24"/>
      <c r="N147" s="24"/>
    </row>
    <row r="148" spans="1:65" x14ac:dyDescent="0.2">
      <c r="A148" s="4"/>
      <c r="B148" s="4"/>
      <c r="C148" s="4"/>
      <c r="D148" s="4"/>
      <c r="E148" s="4"/>
      <c r="F148" s="4"/>
      <c r="G148" s="4"/>
      <c r="H148" s="4"/>
      <c r="I148" s="4"/>
      <c r="L148" s="24"/>
      <c r="M148" s="24"/>
      <c r="N148" s="24"/>
    </row>
    <row r="149" spans="1:65" x14ac:dyDescent="0.2">
      <c r="A149" s="4"/>
      <c r="B149" s="4"/>
      <c r="C149" s="4"/>
      <c r="D149" s="4"/>
      <c r="E149" s="4"/>
      <c r="F149" s="4"/>
      <c r="G149" s="4"/>
      <c r="H149" s="4"/>
      <c r="I149" s="4"/>
      <c r="L149" s="4"/>
      <c r="M149" s="23"/>
      <c r="N149" s="4"/>
    </row>
    <row r="150" spans="1:65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</row>
    <row r="151" spans="1:65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</row>
    <row r="152" spans="1:65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</row>
    <row r="153" spans="1:65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</row>
    <row r="154" spans="1:65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</row>
    <row r="155" spans="1:65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</row>
    <row r="156" spans="1:65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</row>
    <row r="157" spans="1:65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</row>
    <row r="158" spans="1:65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</row>
    <row r="159" spans="1:65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</row>
    <row r="160" spans="1:65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</row>
    <row r="161" spans="1:65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</row>
    <row r="162" spans="1:65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</row>
    <row r="163" spans="1:65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</row>
    <row r="164" spans="1:65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</row>
    <row r="165" spans="1:65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</row>
    <row r="166" spans="1:65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</row>
    <row r="167" spans="1:65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</row>
    <row r="168" spans="1:65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</row>
    <row r="169" spans="1:65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</row>
    <row r="170" spans="1:65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</row>
    <row r="171" spans="1:65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</row>
    <row r="172" spans="1:65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</row>
    <row r="173" spans="1:65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</row>
    <row r="174" spans="1:65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</row>
    <row r="175" spans="1:65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</row>
    <row r="176" spans="1:65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</row>
    <row r="177" spans="1:65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</row>
    <row r="178" spans="1:65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</row>
    <row r="179" spans="1:65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</row>
    <row r="180" spans="1:65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</row>
    <row r="181" spans="1:65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</row>
    <row r="182" spans="1:65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</row>
    <row r="183" spans="1:65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</row>
    <row r="184" spans="1:65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</row>
    <row r="185" spans="1:65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</row>
    <row r="186" spans="1:65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</row>
    <row r="187" spans="1:65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</row>
    <row r="188" spans="1:65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</row>
    <row r="189" spans="1:65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</row>
    <row r="190" spans="1:65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</row>
    <row r="191" spans="1:65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</row>
    <row r="192" spans="1:65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</row>
    <row r="193" spans="1:65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</row>
    <row r="194" spans="1:65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</row>
    <row r="195" spans="1:65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</row>
    <row r="196" spans="1:65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</row>
    <row r="197" spans="1:65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</row>
    <row r="198" spans="1:65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</row>
    <row r="199" spans="1:65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</row>
    <row r="200" spans="1:65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</row>
    <row r="201" spans="1:65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</row>
    <row r="202" spans="1:65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</row>
    <row r="203" spans="1:65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</row>
    <row r="204" spans="1:65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</row>
    <row r="205" spans="1:65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</row>
    <row r="206" spans="1:65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</row>
    <row r="207" spans="1:65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</row>
    <row r="208" spans="1:65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</row>
    <row r="209" spans="1:65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</row>
    <row r="210" spans="1:65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</row>
    <row r="211" spans="1:65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</row>
    <row r="212" spans="1:65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</row>
    <row r="213" spans="1:65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</row>
    <row r="214" spans="1:65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</row>
    <row r="215" spans="1:65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</row>
    <row r="216" spans="1:65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</row>
    <row r="217" spans="1:65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</row>
    <row r="218" spans="1:65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</row>
    <row r="219" spans="1:65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</row>
    <row r="220" spans="1:65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</row>
    <row r="221" spans="1:65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</row>
    <row r="222" spans="1:65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</row>
    <row r="223" spans="1:65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</row>
    <row r="224" spans="1:65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</row>
    <row r="225" spans="1:65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</row>
    <row r="226" spans="1:65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</row>
    <row r="227" spans="1:65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</row>
    <row r="228" spans="1:65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</row>
    <row r="229" spans="1:65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</row>
    <row r="230" spans="1:65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</row>
    <row r="231" spans="1:65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</row>
    <row r="232" spans="1:65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</row>
    <row r="233" spans="1:65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</row>
    <row r="234" spans="1:65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</row>
    <row r="235" spans="1:65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</row>
    <row r="236" spans="1:65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</row>
    <row r="237" spans="1:65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</row>
    <row r="238" spans="1:65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</row>
    <row r="239" spans="1:65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</row>
    <row r="240" spans="1:65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</row>
    <row r="241" spans="1:65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</row>
    <row r="242" spans="1:65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</row>
    <row r="243" spans="1:65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</row>
    <row r="244" spans="1:65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</row>
    <row r="245" spans="1:65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</row>
    <row r="246" spans="1:65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</row>
    <row r="247" spans="1:65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</row>
    <row r="248" spans="1:65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</row>
    <row r="249" spans="1:65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</row>
    <row r="250" spans="1:65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</row>
    <row r="251" spans="1:65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</row>
  </sheetData>
  <mergeCells count="13">
    <mergeCell ref="E23:E24"/>
    <mergeCell ref="D68:D69"/>
    <mergeCell ref="E68:E69"/>
    <mergeCell ref="B96:C96"/>
    <mergeCell ref="D96:E96"/>
    <mergeCell ref="B100:C100"/>
    <mergeCell ref="D100:E100"/>
    <mergeCell ref="B97:C97"/>
    <mergeCell ref="D97:E97"/>
    <mergeCell ref="B98:C98"/>
    <mergeCell ref="D98:E98"/>
    <mergeCell ref="B99:C99"/>
    <mergeCell ref="D99:E9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8B2C4-77CB-2B41-BAFB-F963FD9283E5}">
  <dimension ref="A1:BM286"/>
  <sheetViews>
    <sheetView showGridLines="0" zoomScale="120" zoomScaleNormal="120" workbookViewId="0"/>
  </sheetViews>
  <sheetFormatPr baseColWidth="10" defaultRowHeight="16" x14ac:dyDescent="0.2"/>
  <cols>
    <col min="1" max="3" width="10.83203125" style="18"/>
    <col min="4" max="4" width="12.6640625" style="18" customWidth="1"/>
    <col min="5" max="16384" width="10.83203125" style="18"/>
  </cols>
  <sheetData>
    <row r="1" spans="1:10" ht="19" x14ac:dyDescent="0.25">
      <c r="A1" s="16" t="s">
        <v>104</v>
      </c>
      <c r="B1" s="17"/>
      <c r="C1" s="17"/>
      <c r="D1" s="17"/>
      <c r="E1" s="17"/>
      <c r="F1" s="17"/>
      <c r="G1" s="17"/>
      <c r="H1" s="17"/>
      <c r="I1" s="17"/>
      <c r="J1" s="1"/>
    </row>
    <row r="2" spans="1:10" x14ac:dyDescent="0.2">
      <c r="A2" s="19"/>
      <c r="B2" s="17"/>
      <c r="C2" s="17"/>
      <c r="D2" s="17"/>
      <c r="E2" s="17"/>
      <c r="F2" s="17"/>
      <c r="G2" s="17"/>
      <c r="H2" s="17"/>
      <c r="I2" s="17"/>
      <c r="J2" s="1"/>
    </row>
    <row r="3" spans="1:10" ht="19" x14ac:dyDescent="0.25">
      <c r="A3" s="19"/>
      <c r="B3" s="136" t="s">
        <v>8</v>
      </c>
      <c r="C3" s="17"/>
      <c r="D3" s="17"/>
      <c r="E3" s="17"/>
      <c r="F3" s="17"/>
      <c r="G3" s="17"/>
      <c r="H3" s="17"/>
      <c r="I3" s="17"/>
      <c r="J3" s="1"/>
    </row>
    <row r="4" spans="1:10" x14ac:dyDescent="0.2">
      <c r="A4" s="19"/>
      <c r="B4" s="29" t="s">
        <v>105</v>
      </c>
      <c r="C4" s="17"/>
      <c r="D4" s="17"/>
      <c r="E4" s="17"/>
      <c r="F4" s="17"/>
      <c r="G4" s="17"/>
      <c r="H4" s="17"/>
      <c r="I4" s="17"/>
      <c r="J4" s="1"/>
    </row>
    <row r="5" spans="1:10" x14ac:dyDescent="0.2">
      <c r="A5" s="19"/>
      <c r="B5" s="17" t="s">
        <v>106</v>
      </c>
      <c r="C5" s="17"/>
      <c r="D5" s="17"/>
      <c r="E5" s="17"/>
      <c r="F5" s="17"/>
      <c r="G5" s="17"/>
      <c r="H5" s="17"/>
      <c r="I5" s="17"/>
      <c r="J5" s="1"/>
    </row>
    <row r="6" spans="1:10" x14ac:dyDescent="0.2">
      <c r="A6" s="19"/>
      <c r="B6" s="17"/>
      <c r="C6" s="17"/>
      <c r="D6" s="17"/>
      <c r="E6" s="17"/>
      <c r="F6" s="17"/>
      <c r="G6" s="17"/>
      <c r="H6" s="17"/>
      <c r="I6" s="17"/>
      <c r="J6" s="1"/>
    </row>
    <row r="7" spans="1:10" x14ac:dyDescent="0.2">
      <c r="A7" s="19"/>
      <c r="B7" s="17" t="s">
        <v>107</v>
      </c>
      <c r="C7" s="17"/>
      <c r="D7" s="17"/>
      <c r="E7" s="17"/>
      <c r="F7" s="17"/>
      <c r="G7" s="17"/>
      <c r="H7" s="17"/>
      <c r="I7" s="17"/>
      <c r="J7" s="1"/>
    </row>
    <row r="8" spans="1:10" x14ac:dyDescent="0.2">
      <c r="A8" s="19"/>
      <c r="B8" s="17"/>
      <c r="C8" s="17"/>
      <c r="D8" s="17"/>
      <c r="E8" s="17"/>
      <c r="F8" s="17"/>
      <c r="G8" s="17"/>
      <c r="H8" s="17"/>
      <c r="I8" s="17"/>
      <c r="J8" s="1"/>
    </row>
    <row r="9" spans="1:10" x14ac:dyDescent="0.2">
      <c r="A9" s="19"/>
      <c r="B9" s="17"/>
      <c r="C9" s="17"/>
      <c r="D9" s="27" t="s">
        <v>18</v>
      </c>
      <c r="E9" s="60">
        <v>0.6</v>
      </c>
      <c r="F9" s="17"/>
      <c r="G9" s="17"/>
      <c r="H9" s="17"/>
      <c r="I9" s="17"/>
      <c r="J9" s="1"/>
    </row>
    <row r="10" spans="1:10" x14ac:dyDescent="0.2">
      <c r="A10" s="19"/>
      <c r="B10" s="17"/>
      <c r="C10" s="17"/>
      <c r="D10" s="27" t="s">
        <v>19</v>
      </c>
      <c r="E10" s="60">
        <v>1.75</v>
      </c>
      <c r="F10" s="17"/>
      <c r="G10" s="17"/>
      <c r="H10" s="17"/>
      <c r="I10" s="17"/>
      <c r="J10" s="1"/>
    </row>
    <row r="11" spans="1:10" x14ac:dyDescent="0.2">
      <c r="A11" s="19"/>
      <c r="B11" s="17"/>
      <c r="C11" s="17"/>
      <c r="D11" s="27" t="s">
        <v>34</v>
      </c>
      <c r="E11" s="33">
        <v>200000</v>
      </c>
      <c r="F11" s="17"/>
      <c r="G11" s="17"/>
      <c r="H11" s="17"/>
      <c r="I11" s="17"/>
      <c r="J11" s="1"/>
    </row>
    <row r="12" spans="1:10" x14ac:dyDescent="0.2">
      <c r="A12" s="19"/>
      <c r="B12" s="17"/>
      <c r="C12" s="17"/>
      <c r="D12" s="27" t="s">
        <v>108</v>
      </c>
      <c r="E12" s="33">
        <v>1500000</v>
      </c>
      <c r="F12" s="17"/>
      <c r="G12" s="17"/>
      <c r="H12" s="17"/>
      <c r="I12" s="17"/>
      <c r="J12" s="1"/>
    </row>
    <row r="13" spans="1:10" x14ac:dyDescent="0.2">
      <c r="A13" s="19"/>
      <c r="B13" s="17"/>
      <c r="C13" s="17"/>
      <c r="D13" s="17"/>
      <c r="E13" s="17"/>
      <c r="F13" s="17"/>
      <c r="G13" s="17"/>
      <c r="H13" s="17"/>
      <c r="I13" s="17"/>
      <c r="J13" s="1"/>
    </row>
    <row r="14" spans="1:10" x14ac:dyDescent="0.2">
      <c r="A14" s="19"/>
      <c r="B14" s="17" t="s">
        <v>109</v>
      </c>
      <c r="C14" s="17"/>
      <c r="D14" s="17"/>
      <c r="E14" s="17"/>
      <c r="F14" s="17"/>
      <c r="G14" s="17"/>
      <c r="H14" s="17"/>
      <c r="I14" s="17"/>
      <c r="J14" s="1"/>
    </row>
    <row r="15" spans="1:10" x14ac:dyDescent="0.2">
      <c r="A15" s="19"/>
      <c r="B15" s="17"/>
      <c r="C15" s="17"/>
      <c r="D15" s="27" t="s">
        <v>67</v>
      </c>
      <c r="E15" s="68">
        <v>6000000000</v>
      </c>
      <c r="F15" s="17"/>
      <c r="G15" s="17"/>
      <c r="H15" s="17"/>
      <c r="I15" s="17"/>
      <c r="J15" s="1"/>
    </row>
    <row r="16" spans="1:10" x14ac:dyDescent="0.2">
      <c r="A16" s="19"/>
      <c r="B16" s="17"/>
      <c r="C16" s="17"/>
      <c r="D16" s="27" t="s">
        <v>68</v>
      </c>
      <c r="E16" s="68">
        <v>4000000</v>
      </c>
      <c r="F16" s="17"/>
      <c r="G16" s="17"/>
      <c r="H16" s="17"/>
      <c r="I16" s="17"/>
      <c r="J16" s="1"/>
    </row>
    <row r="17" spans="1:10" x14ac:dyDescent="0.2">
      <c r="A17" s="19"/>
      <c r="B17" s="17"/>
      <c r="C17" s="17"/>
      <c r="D17" s="17"/>
      <c r="E17" s="17"/>
      <c r="F17" s="17"/>
      <c r="G17" s="17"/>
      <c r="H17" s="17"/>
      <c r="I17" s="17"/>
      <c r="J17" s="1"/>
    </row>
    <row r="18" spans="1:10" x14ac:dyDescent="0.2">
      <c r="A18" s="19"/>
      <c r="B18" s="17" t="s">
        <v>110</v>
      </c>
      <c r="C18" s="17"/>
      <c r="D18" s="17"/>
      <c r="E18" s="17"/>
      <c r="F18" s="17"/>
      <c r="G18" s="17"/>
      <c r="H18" s="17"/>
      <c r="I18" s="17"/>
      <c r="J18" s="1"/>
    </row>
    <row r="19" spans="1:10" ht="16" customHeight="1" x14ac:dyDescent="0.2">
      <c r="A19" s="19"/>
      <c r="B19" s="228" t="s">
        <v>471</v>
      </c>
      <c r="C19" s="228"/>
      <c r="D19" s="228"/>
      <c r="E19" s="228"/>
      <c r="F19" s="228"/>
      <c r="G19" s="228"/>
      <c r="H19" s="228"/>
      <c r="I19" s="228"/>
      <c r="J19" s="1"/>
    </row>
    <row r="20" spans="1:10" x14ac:dyDescent="0.2">
      <c r="A20" s="19"/>
      <c r="B20" s="228"/>
      <c r="C20" s="228"/>
      <c r="D20" s="228"/>
      <c r="E20" s="228"/>
      <c r="F20" s="228"/>
      <c r="G20" s="228"/>
      <c r="H20" s="228"/>
      <c r="I20" s="228"/>
      <c r="J20" s="1"/>
    </row>
    <row r="21" spans="1:10" x14ac:dyDescent="0.2">
      <c r="A21" s="19"/>
      <c r="B21" s="228"/>
      <c r="C21" s="228"/>
      <c r="D21" s="228"/>
      <c r="E21" s="228"/>
      <c r="F21" s="228"/>
      <c r="G21" s="228"/>
      <c r="H21" s="228"/>
      <c r="I21" s="228"/>
      <c r="J21" s="1"/>
    </row>
    <row r="22" spans="1:10" x14ac:dyDescent="0.2">
      <c r="A22" s="19"/>
      <c r="B22" s="228"/>
      <c r="C22" s="228"/>
      <c r="D22" s="228"/>
      <c r="E22" s="228"/>
      <c r="F22" s="228"/>
      <c r="G22" s="228"/>
      <c r="H22" s="228"/>
      <c r="I22" s="228"/>
      <c r="J22" s="1"/>
    </row>
    <row r="23" spans="1:10" x14ac:dyDescent="0.2">
      <c r="A23" s="19"/>
      <c r="B23" s="228"/>
      <c r="C23" s="228"/>
      <c r="D23" s="228"/>
      <c r="E23" s="228"/>
      <c r="F23" s="228"/>
      <c r="G23" s="228"/>
      <c r="H23" s="228"/>
      <c r="I23" s="228"/>
      <c r="J23" s="1"/>
    </row>
    <row r="24" spans="1:10" x14ac:dyDescent="0.2">
      <c r="A24" s="19"/>
      <c r="B24" s="228"/>
      <c r="C24" s="228"/>
      <c r="D24" s="228"/>
      <c r="E24" s="228"/>
      <c r="F24" s="228"/>
      <c r="G24" s="228"/>
      <c r="H24" s="228"/>
      <c r="I24" s="228"/>
      <c r="J24" s="1"/>
    </row>
    <row r="25" spans="1:10" x14ac:dyDescent="0.2">
      <c r="A25" s="19"/>
      <c r="B25" s="228"/>
      <c r="C25" s="228"/>
      <c r="D25" s="228"/>
      <c r="E25" s="228"/>
      <c r="F25" s="228"/>
      <c r="G25" s="228"/>
      <c r="H25" s="228"/>
      <c r="I25" s="228"/>
      <c r="J25" s="1"/>
    </row>
    <row r="26" spans="1:10" x14ac:dyDescent="0.2">
      <c r="A26" s="19"/>
      <c r="B26" s="228"/>
      <c r="C26" s="228"/>
      <c r="D26" s="228"/>
      <c r="E26" s="228"/>
      <c r="F26" s="228"/>
      <c r="G26" s="228"/>
      <c r="H26" s="228"/>
      <c r="I26" s="228"/>
      <c r="J26" s="1"/>
    </row>
    <row r="27" spans="1:10" x14ac:dyDescent="0.2">
      <c r="A27" s="19"/>
      <c r="B27" s="17"/>
      <c r="C27" s="17"/>
      <c r="D27" s="17"/>
      <c r="E27" s="17"/>
      <c r="F27" s="17"/>
      <c r="G27" s="17"/>
      <c r="H27" s="17"/>
      <c r="I27" s="17"/>
      <c r="J27" s="1"/>
    </row>
    <row r="28" spans="1:10" x14ac:dyDescent="0.2">
      <c r="A28" s="19"/>
      <c r="B28" s="17" t="s">
        <v>115</v>
      </c>
      <c r="C28" s="17"/>
      <c r="D28" s="17"/>
      <c r="E28" s="17"/>
      <c r="F28" s="17"/>
      <c r="G28" s="17"/>
      <c r="H28" s="17"/>
      <c r="I28" s="17"/>
      <c r="J28" s="1"/>
    </row>
    <row r="29" spans="1:10" x14ac:dyDescent="0.2">
      <c r="A29" s="19"/>
      <c r="B29" s="17"/>
      <c r="C29" s="17"/>
      <c r="D29" s="17"/>
      <c r="E29" s="17"/>
      <c r="F29" s="17"/>
      <c r="G29" s="17"/>
      <c r="H29" s="17"/>
      <c r="I29" s="17"/>
      <c r="J29" s="1"/>
    </row>
    <row r="30" spans="1:10" x14ac:dyDescent="0.2">
      <c r="A30" s="19"/>
      <c r="B30" s="17" t="s">
        <v>116</v>
      </c>
      <c r="C30" s="17"/>
      <c r="D30" s="17"/>
      <c r="E30" s="17"/>
      <c r="F30" s="17" t="s">
        <v>117</v>
      </c>
      <c r="G30" s="17"/>
      <c r="H30" s="17"/>
      <c r="I30" s="17"/>
      <c r="J30" s="1"/>
    </row>
    <row r="31" spans="1:10" x14ac:dyDescent="0.2">
      <c r="A31" s="19"/>
      <c r="B31" s="17"/>
      <c r="C31" s="51"/>
      <c r="D31" s="208" t="s">
        <v>26</v>
      </c>
      <c r="E31" s="17"/>
      <c r="F31" s="17"/>
      <c r="G31" s="51"/>
      <c r="H31" s="208" t="s">
        <v>26</v>
      </c>
      <c r="I31" s="17"/>
      <c r="J31" s="1"/>
    </row>
    <row r="32" spans="1:10" x14ac:dyDescent="0.2">
      <c r="A32" s="19"/>
      <c r="B32" s="17"/>
      <c r="C32" s="3" t="s">
        <v>27</v>
      </c>
      <c r="D32" s="211"/>
      <c r="E32" s="17"/>
      <c r="F32" s="17"/>
      <c r="G32" s="3" t="s">
        <v>27</v>
      </c>
      <c r="H32" s="211"/>
      <c r="I32" s="17"/>
      <c r="J32" s="1"/>
    </row>
    <row r="33" spans="1:10" x14ac:dyDescent="0.2">
      <c r="A33" s="19"/>
      <c r="B33" s="17"/>
      <c r="C33" s="2">
        <v>1</v>
      </c>
      <c r="D33" s="28">
        <v>50</v>
      </c>
      <c r="E33" s="17"/>
      <c r="F33" s="17"/>
      <c r="G33" s="2">
        <v>1</v>
      </c>
      <c r="H33" s="28">
        <v>25</v>
      </c>
      <c r="I33" s="17"/>
      <c r="J33" s="1"/>
    </row>
    <row r="34" spans="1:10" x14ac:dyDescent="0.2">
      <c r="A34" s="19"/>
      <c r="B34" s="17"/>
      <c r="C34" s="2">
        <v>2</v>
      </c>
      <c r="D34" s="28">
        <v>40</v>
      </c>
      <c r="E34" s="17"/>
      <c r="F34" s="17"/>
      <c r="G34" s="2">
        <v>2</v>
      </c>
      <c r="H34" s="28">
        <v>50</v>
      </c>
      <c r="I34" s="17"/>
      <c r="J34" s="1"/>
    </row>
    <row r="35" spans="1:10" x14ac:dyDescent="0.2">
      <c r="A35" s="19"/>
      <c r="B35" s="17"/>
      <c r="C35" s="2">
        <v>3</v>
      </c>
      <c r="D35" s="28">
        <v>80</v>
      </c>
      <c r="E35" s="17"/>
      <c r="F35" s="17"/>
      <c r="G35" s="2">
        <v>3</v>
      </c>
      <c r="H35" s="28">
        <v>125</v>
      </c>
      <c r="I35" s="17"/>
      <c r="J35" s="1"/>
    </row>
    <row r="36" spans="1:10" x14ac:dyDescent="0.2">
      <c r="A36" s="19"/>
      <c r="B36" s="17"/>
      <c r="C36" s="2">
        <v>4</v>
      </c>
      <c r="D36" s="28">
        <v>125</v>
      </c>
      <c r="E36" s="17"/>
      <c r="F36" s="17"/>
      <c r="G36" s="2">
        <v>4</v>
      </c>
      <c r="H36" s="28">
        <v>500</v>
      </c>
      <c r="I36" s="17"/>
      <c r="J36" s="1"/>
    </row>
    <row r="37" spans="1:10" x14ac:dyDescent="0.2">
      <c r="A37" s="19"/>
      <c r="B37" s="17"/>
      <c r="C37" s="2">
        <v>5</v>
      </c>
      <c r="D37" s="28">
        <v>300</v>
      </c>
      <c r="E37" s="17"/>
      <c r="F37" s="17"/>
      <c r="G37" s="2">
        <v>5</v>
      </c>
      <c r="H37" s="28">
        <v>80</v>
      </c>
      <c r="I37" s="17"/>
      <c r="J37" s="1"/>
    </row>
    <row r="38" spans="1:10" x14ac:dyDescent="0.2">
      <c r="A38" s="19"/>
      <c r="B38" s="17"/>
      <c r="C38" s="2">
        <v>6</v>
      </c>
      <c r="D38" s="28">
        <v>400</v>
      </c>
      <c r="E38" s="17"/>
      <c r="F38" s="17"/>
      <c r="G38" s="2">
        <v>6</v>
      </c>
      <c r="H38" s="28">
        <v>40</v>
      </c>
      <c r="I38" s="17"/>
      <c r="J38" s="1"/>
    </row>
    <row r="39" spans="1:10" x14ac:dyDescent="0.2">
      <c r="A39" s="19"/>
      <c r="B39" s="17"/>
      <c r="C39" s="2">
        <v>7</v>
      </c>
      <c r="D39" s="28">
        <v>90</v>
      </c>
      <c r="E39" s="17"/>
      <c r="F39" s="17"/>
      <c r="G39" s="2">
        <v>7</v>
      </c>
      <c r="H39" s="28">
        <v>250</v>
      </c>
      <c r="I39" s="17"/>
      <c r="J39" s="1"/>
    </row>
    <row r="40" spans="1:10" x14ac:dyDescent="0.2">
      <c r="A40" s="19"/>
      <c r="B40" s="17"/>
      <c r="C40" s="2">
        <v>8</v>
      </c>
      <c r="D40" s="38">
        <v>750</v>
      </c>
      <c r="E40" s="17"/>
      <c r="F40" s="17"/>
      <c r="G40" s="2">
        <v>8</v>
      </c>
      <c r="H40" s="38">
        <v>65</v>
      </c>
      <c r="I40" s="17"/>
      <c r="J40" s="1"/>
    </row>
    <row r="41" spans="1:10" x14ac:dyDescent="0.2">
      <c r="A41" s="19"/>
      <c r="B41" s="17"/>
      <c r="C41" s="2">
        <v>9</v>
      </c>
      <c r="D41" s="28">
        <v>25</v>
      </c>
      <c r="E41" s="17"/>
      <c r="F41" s="17"/>
      <c r="G41" s="2">
        <v>9</v>
      </c>
      <c r="H41" s="28">
        <v>90</v>
      </c>
      <c r="I41" s="17"/>
      <c r="J41" s="1"/>
    </row>
    <row r="42" spans="1:10" x14ac:dyDescent="0.2">
      <c r="A42" s="19"/>
      <c r="B42" s="17"/>
      <c r="C42" s="2">
        <v>10</v>
      </c>
      <c r="D42" s="28">
        <v>200</v>
      </c>
      <c r="E42" s="17"/>
      <c r="F42" s="17"/>
      <c r="G42" s="2">
        <v>10</v>
      </c>
      <c r="H42" s="28">
        <v>110</v>
      </c>
      <c r="I42" s="17"/>
      <c r="J42" s="1"/>
    </row>
    <row r="43" spans="1:10" x14ac:dyDescent="0.2">
      <c r="A43" s="19"/>
      <c r="B43" s="17"/>
      <c r="C43" s="2">
        <v>11</v>
      </c>
      <c r="D43" s="28">
        <v>150</v>
      </c>
      <c r="E43" s="17"/>
      <c r="F43" s="17"/>
      <c r="G43" s="2">
        <v>11</v>
      </c>
      <c r="H43" s="28">
        <v>45</v>
      </c>
      <c r="I43" s="17"/>
      <c r="J43" s="1"/>
    </row>
    <row r="44" spans="1:10" x14ac:dyDescent="0.2">
      <c r="A44" s="19"/>
      <c r="B44" s="17"/>
      <c r="C44" s="2">
        <v>12</v>
      </c>
      <c r="D44" s="28">
        <v>100</v>
      </c>
      <c r="E44" s="17"/>
      <c r="F44" s="17"/>
      <c r="G44" s="2">
        <v>12</v>
      </c>
      <c r="H44" s="28">
        <v>5</v>
      </c>
      <c r="I44" s="17"/>
      <c r="J44" s="1"/>
    </row>
    <row r="45" spans="1:10" x14ac:dyDescent="0.2">
      <c r="A45" s="19"/>
      <c r="B45" s="17"/>
      <c r="C45" s="2">
        <v>13</v>
      </c>
      <c r="D45" s="28">
        <v>125</v>
      </c>
      <c r="E45" s="17"/>
      <c r="F45" s="17"/>
      <c r="G45" s="2">
        <v>13</v>
      </c>
      <c r="H45" s="28">
        <v>400</v>
      </c>
      <c r="I45" s="17"/>
      <c r="J45" s="1"/>
    </row>
    <row r="46" spans="1:10" x14ac:dyDescent="0.2">
      <c r="A46" s="19"/>
      <c r="B46" s="17"/>
      <c r="C46" s="2">
        <v>14</v>
      </c>
      <c r="D46" s="28">
        <v>250</v>
      </c>
      <c r="E46" s="17"/>
      <c r="F46" s="17"/>
      <c r="G46" s="2">
        <v>14</v>
      </c>
      <c r="H46" s="28">
        <v>350</v>
      </c>
      <c r="I46" s="17"/>
      <c r="J46" s="1"/>
    </row>
    <row r="47" spans="1:10" x14ac:dyDescent="0.2">
      <c r="A47" s="19"/>
      <c r="B47" s="17"/>
      <c r="C47" s="2">
        <v>15</v>
      </c>
      <c r="D47" s="28">
        <v>35</v>
      </c>
      <c r="E47" s="17"/>
      <c r="F47" s="17"/>
      <c r="G47" s="2">
        <v>15</v>
      </c>
      <c r="H47" s="28">
        <v>175</v>
      </c>
      <c r="I47" s="17"/>
      <c r="J47" s="1"/>
    </row>
    <row r="48" spans="1:10" x14ac:dyDescent="0.2">
      <c r="A48" s="19"/>
      <c r="B48" s="17"/>
      <c r="C48" s="58"/>
      <c r="D48" s="58"/>
      <c r="E48" s="17"/>
      <c r="F48" s="17"/>
      <c r="G48" s="2">
        <v>16</v>
      </c>
      <c r="H48" s="28">
        <v>55</v>
      </c>
      <c r="I48" s="17"/>
      <c r="J48" s="1"/>
    </row>
    <row r="49" spans="1:10" x14ac:dyDescent="0.2">
      <c r="A49" s="19"/>
      <c r="B49" s="17"/>
      <c r="C49" s="58"/>
      <c r="D49" s="58"/>
      <c r="E49" s="17"/>
      <c r="F49" s="17"/>
      <c r="G49" s="2">
        <v>17</v>
      </c>
      <c r="H49" s="28">
        <v>75</v>
      </c>
      <c r="I49" s="17"/>
      <c r="J49" s="1"/>
    </row>
    <row r="50" spans="1:10" x14ac:dyDescent="0.2">
      <c r="A50" s="19"/>
      <c r="B50" s="17"/>
      <c r="C50" s="58"/>
      <c r="D50" s="58"/>
      <c r="E50" s="17"/>
      <c r="F50" s="17"/>
      <c r="G50" s="2">
        <v>18</v>
      </c>
      <c r="H50" s="28">
        <v>40</v>
      </c>
      <c r="I50" s="17"/>
      <c r="J50" s="1"/>
    </row>
    <row r="51" spans="1:10" x14ac:dyDescent="0.2">
      <c r="A51" s="19"/>
      <c r="B51" s="17"/>
      <c r="C51" s="58"/>
      <c r="D51" s="58"/>
      <c r="E51" s="17"/>
      <c r="F51" s="17"/>
      <c r="G51" s="2">
        <v>19</v>
      </c>
      <c r="H51" s="28">
        <v>125</v>
      </c>
      <c r="I51" s="17"/>
      <c r="J51" s="1"/>
    </row>
    <row r="52" spans="1:10" x14ac:dyDescent="0.2">
      <c r="A52" s="19"/>
      <c r="B52" s="17"/>
      <c r="C52" s="58"/>
      <c r="D52" s="58"/>
      <c r="E52" s="17"/>
      <c r="F52" s="17"/>
      <c r="G52" s="2">
        <v>20</v>
      </c>
      <c r="H52" s="28">
        <v>150</v>
      </c>
      <c r="I52" s="17"/>
      <c r="J52" s="1"/>
    </row>
    <row r="53" spans="1:10" x14ac:dyDescent="0.2">
      <c r="A53" s="19"/>
      <c r="B53" s="17"/>
      <c r="C53" s="58"/>
      <c r="D53" s="28"/>
      <c r="E53" s="17"/>
      <c r="F53" s="17"/>
      <c r="G53" s="17"/>
      <c r="H53" s="17"/>
      <c r="I53" s="17"/>
      <c r="J53" s="1"/>
    </row>
    <row r="54" spans="1:10" x14ac:dyDescent="0.2">
      <c r="A54" s="19"/>
      <c r="B54" s="17" t="s">
        <v>0</v>
      </c>
      <c r="C54" s="17"/>
      <c r="D54" s="17"/>
      <c r="E54" s="17"/>
      <c r="F54" s="17"/>
      <c r="G54" s="17"/>
      <c r="H54" s="17"/>
      <c r="I54" s="17"/>
      <c r="J54" s="1"/>
    </row>
    <row r="55" spans="1:10" x14ac:dyDescent="0.2">
      <c r="A55" s="19"/>
      <c r="B55" s="17" t="s">
        <v>120</v>
      </c>
      <c r="C55" s="17"/>
      <c r="D55" s="17"/>
      <c r="E55" s="17"/>
      <c r="F55" s="17"/>
      <c r="G55" s="17"/>
      <c r="H55" s="17"/>
      <c r="I55" s="17"/>
      <c r="J55" s="1"/>
    </row>
    <row r="56" spans="1:10" x14ac:dyDescent="0.2">
      <c r="A56" s="19"/>
      <c r="B56" s="17"/>
      <c r="C56" s="17"/>
      <c r="D56" s="17"/>
      <c r="E56" s="17"/>
      <c r="F56" s="17"/>
      <c r="G56" s="17"/>
      <c r="H56" s="17"/>
      <c r="I56" s="17"/>
      <c r="J56" s="1"/>
    </row>
    <row r="57" spans="1:10" x14ac:dyDescent="0.2">
      <c r="A57" s="19"/>
      <c r="B57" s="17" t="s">
        <v>1</v>
      </c>
      <c r="C57" s="17"/>
      <c r="D57" s="17"/>
      <c r="E57" s="17"/>
      <c r="F57" s="17"/>
      <c r="G57" s="17"/>
      <c r="H57" s="17"/>
      <c r="I57" s="17"/>
      <c r="J57" s="1"/>
    </row>
    <row r="58" spans="1:10" x14ac:dyDescent="0.2">
      <c r="A58" s="19"/>
      <c r="B58" s="17" t="s">
        <v>118</v>
      </c>
      <c r="C58" s="17"/>
      <c r="D58" s="17"/>
      <c r="E58" s="17"/>
      <c r="F58" s="17"/>
      <c r="G58" s="17"/>
      <c r="H58" s="17"/>
      <c r="I58" s="17"/>
      <c r="J58" s="1"/>
    </row>
    <row r="59" spans="1:10" x14ac:dyDescent="0.2">
      <c r="A59" s="19"/>
      <c r="B59" s="17"/>
      <c r="C59" s="17"/>
      <c r="D59" s="17"/>
      <c r="E59" s="17"/>
      <c r="F59" s="17"/>
      <c r="G59" s="17"/>
      <c r="H59" s="17"/>
      <c r="I59" s="17"/>
      <c r="J59" s="1"/>
    </row>
    <row r="60" spans="1:10" x14ac:dyDescent="0.2">
      <c r="A60" s="19"/>
      <c r="B60" s="17" t="s">
        <v>2</v>
      </c>
      <c r="C60" s="17"/>
      <c r="D60" s="17"/>
      <c r="E60" s="17"/>
      <c r="F60" s="17"/>
      <c r="G60" s="17"/>
      <c r="H60" s="17"/>
      <c r="I60" s="17"/>
      <c r="J60" s="1"/>
    </row>
    <row r="61" spans="1:10" x14ac:dyDescent="0.2">
      <c r="A61" s="19"/>
      <c r="B61" s="17" t="s">
        <v>119</v>
      </c>
      <c r="C61" s="17"/>
      <c r="D61" s="17"/>
      <c r="E61" s="17"/>
      <c r="F61" s="17"/>
      <c r="G61" s="17"/>
      <c r="H61" s="17"/>
      <c r="I61" s="17"/>
      <c r="J61" s="1"/>
    </row>
    <row r="62" spans="1:10" x14ac:dyDescent="0.2">
      <c r="A62" s="19"/>
      <c r="B62" s="17"/>
      <c r="C62" s="17"/>
      <c r="D62" s="17"/>
      <c r="E62" s="17"/>
      <c r="F62" s="17"/>
      <c r="G62" s="17"/>
      <c r="H62" s="17"/>
      <c r="I62" s="17"/>
      <c r="J62" s="1"/>
    </row>
    <row r="63" spans="1:10" x14ac:dyDescent="0.2">
      <c r="A63" s="19"/>
      <c r="B63" s="17" t="s">
        <v>7</v>
      </c>
      <c r="C63" s="17"/>
      <c r="D63" s="17"/>
      <c r="E63" s="17"/>
      <c r="F63" s="17"/>
      <c r="G63" s="17"/>
      <c r="H63" s="17"/>
      <c r="I63" s="17"/>
      <c r="J63" s="1"/>
    </row>
    <row r="64" spans="1:10" x14ac:dyDescent="0.2">
      <c r="A64" s="19"/>
      <c r="B64" s="17" t="s">
        <v>132</v>
      </c>
      <c r="C64" s="17"/>
      <c r="D64" s="17"/>
      <c r="E64" s="17"/>
      <c r="F64" s="17"/>
      <c r="G64" s="17"/>
      <c r="H64" s="17"/>
      <c r="I64" s="17"/>
      <c r="J64" s="1"/>
    </row>
    <row r="65" spans="1:10" ht="17" thickBot="1" x14ac:dyDescent="0.25">
      <c r="A65" s="20"/>
      <c r="B65" s="6"/>
      <c r="C65" s="64"/>
      <c r="D65" s="64"/>
      <c r="E65" s="64"/>
      <c r="F65" s="6"/>
      <c r="G65" s="6"/>
      <c r="H65" s="6"/>
      <c r="I65" s="6"/>
      <c r="J65" s="7"/>
    </row>
    <row r="66" spans="1:10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10" ht="19" x14ac:dyDescent="0.25">
      <c r="A67" s="21" t="s">
        <v>3</v>
      </c>
      <c r="B67" s="4"/>
      <c r="C67" s="4"/>
      <c r="D67" s="4"/>
      <c r="E67" s="4"/>
      <c r="F67" s="4"/>
      <c r="G67" s="4"/>
      <c r="H67" s="4"/>
      <c r="I67" s="4"/>
    </row>
    <row r="68" spans="1:10" ht="19" x14ac:dyDescent="0.25">
      <c r="A68" s="21"/>
      <c r="B68" s="4" t="s">
        <v>0</v>
      </c>
      <c r="C68" s="4"/>
      <c r="D68" s="4"/>
      <c r="E68" s="4"/>
      <c r="F68" s="4"/>
      <c r="G68" s="4"/>
      <c r="H68" s="4"/>
      <c r="I68" s="4"/>
    </row>
    <row r="69" spans="1:10" ht="19" x14ac:dyDescent="0.25">
      <c r="A69" s="21"/>
      <c r="B69" s="4" t="s">
        <v>121</v>
      </c>
      <c r="C69" s="4"/>
      <c r="D69" s="4"/>
      <c r="E69" s="4"/>
      <c r="F69" s="4"/>
      <c r="G69" s="4"/>
      <c r="H69" s="4"/>
      <c r="I69" s="4"/>
    </row>
    <row r="70" spans="1:10" ht="19" x14ac:dyDescent="0.25">
      <c r="A70" s="21"/>
      <c r="B70" s="183" t="s">
        <v>448</v>
      </c>
      <c r="C70" s="4"/>
      <c r="D70" s="4"/>
      <c r="E70" s="4"/>
      <c r="F70" s="4"/>
      <c r="G70" s="4"/>
      <c r="H70" s="4"/>
      <c r="I70" s="4"/>
    </row>
    <row r="71" spans="1:10" ht="19" x14ac:dyDescent="0.25">
      <c r="A71" s="21"/>
      <c r="B71" s="4"/>
      <c r="C71" s="4"/>
      <c r="D71" s="4"/>
      <c r="E71" s="4"/>
      <c r="F71" s="4"/>
      <c r="G71" s="4"/>
      <c r="H71" s="4"/>
      <c r="I71" s="4"/>
    </row>
    <row r="72" spans="1:10" ht="19" x14ac:dyDescent="0.25">
      <c r="A72" s="21"/>
      <c r="B72" s="4" t="s">
        <v>1</v>
      </c>
      <c r="C72" s="4"/>
      <c r="D72" s="4"/>
      <c r="E72" s="4"/>
      <c r="F72" s="4"/>
      <c r="G72" s="4"/>
      <c r="H72" s="4"/>
      <c r="I72" s="4"/>
    </row>
    <row r="73" spans="1:10" ht="19" x14ac:dyDescent="0.25">
      <c r="A73" s="21"/>
      <c r="B73" s="4" t="s">
        <v>122</v>
      </c>
      <c r="C73" s="4"/>
      <c r="D73" s="4"/>
      <c r="E73" s="4"/>
      <c r="F73" s="4"/>
      <c r="G73" s="4"/>
      <c r="H73" s="4"/>
      <c r="I73" s="4"/>
    </row>
    <row r="74" spans="1:10" ht="19" x14ac:dyDescent="0.25">
      <c r="A74" s="21"/>
      <c r="B74" s="4" t="s">
        <v>123</v>
      </c>
      <c r="C74" s="4"/>
      <c r="D74" s="4"/>
      <c r="E74" s="4"/>
      <c r="F74" s="4"/>
      <c r="G74" s="4"/>
      <c r="H74" s="4"/>
      <c r="I74" s="4"/>
    </row>
    <row r="75" spans="1:10" ht="19" x14ac:dyDescent="0.25">
      <c r="A75" s="21"/>
      <c r="B75" s="4" t="s">
        <v>124</v>
      </c>
      <c r="C75" s="4"/>
      <c r="D75" s="4"/>
      <c r="E75" s="4"/>
      <c r="F75" s="4"/>
      <c r="G75" s="4"/>
      <c r="H75" s="4"/>
      <c r="I75" s="4"/>
    </row>
    <row r="76" spans="1:10" ht="19" x14ac:dyDescent="0.25">
      <c r="A76" s="21"/>
      <c r="B76" s="4" t="s">
        <v>125</v>
      </c>
      <c r="C76" s="4"/>
      <c r="D76" s="4"/>
      <c r="E76" s="4"/>
      <c r="F76" s="4"/>
      <c r="G76" s="4"/>
      <c r="H76" s="4"/>
      <c r="I76" s="4"/>
    </row>
    <row r="77" spans="1:10" ht="19" x14ac:dyDescent="0.25">
      <c r="A77" s="21"/>
      <c r="B77" s="4"/>
      <c r="C77" s="4"/>
      <c r="D77" s="4"/>
      <c r="E77" s="4"/>
      <c r="F77" s="4"/>
      <c r="G77" s="4"/>
      <c r="H77" s="4"/>
      <c r="I77" s="4"/>
    </row>
    <row r="78" spans="1:10" ht="19" x14ac:dyDescent="0.25">
      <c r="A78" s="21"/>
      <c r="B78" s="4" t="s">
        <v>2</v>
      </c>
      <c r="C78" s="4"/>
      <c r="D78" s="4"/>
      <c r="E78" s="4"/>
      <c r="F78" s="4"/>
      <c r="G78" s="4"/>
      <c r="H78" s="4"/>
      <c r="I78" s="4"/>
    </row>
    <row r="79" spans="1:10" ht="19" x14ac:dyDescent="0.25">
      <c r="A79" s="21"/>
      <c r="B79" s="4" t="s">
        <v>126</v>
      </c>
      <c r="C79" s="4"/>
      <c r="D79" s="4"/>
      <c r="E79" s="4"/>
      <c r="F79" s="4"/>
      <c r="G79" s="4"/>
      <c r="H79" s="4"/>
      <c r="I79" s="4"/>
    </row>
    <row r="80" spans="1:10" ht="19" x14ac:dyDescent="0.25">
      <c r="A80" s="21"/>
      <c r="B80" s="4" t="s">
        <v>127</v>
      </c>
      <c r="C80" s="4"/>
      <c r="D80" s="4"/>
      <c r="E80" s="4"/>
      <c r="F80" s="4"/>
      <c r="G80" s="4"/>
      <c r="H80" s="4"/>
      <c r="I80" s="4"/>
    </row>
    <row r="81" spans="1:12" ht="19" x14ac:dyDescent="0.25">
      <c r="A81" s="21"/>
      <c r="B81" s="4" t="s">
        <v>128</v>
      </c>
      <c r="C81" s="4"/>
      <c r="D81" s="4"/>
      <c r="E81" s="4"/>
      <c r="F81" s="4"/>
      <c r="G81" s="4"/>
      <c r="H81" s="4"/>
      <c r="I81" s="4"/>
    </row>
    <row r="82" spans="1:12" ht="19" x14ac:dyDescent="0.25">
      <c r="A82" s="21"/>
      <c r="B82" s="4"/>
      <c r="C82" s="4"/>
      <c r="D82" s="4"/>
      <c r="E82" s="4"/>
      <c r="F82" s="4"/>
      <c r="G82" s="4"/>
      <c r="H82" s="4"/>
      <c r="I82" s="4"/>
    </row>
    <row r="83" spans="1:12" x14ac:dyDescent="0.2">
      <c r="A83" s="22"/>
      <c r="B83" s="4" t="s">
        <v>7</v>
      </c>
      <c r="C83" s="23"/>
      <c r="D83" s="4"/>
      <c r="E83" s="4"/>
      <c r="F83" s="4"/>
      <c r="G83" s="4"/>
      <c r="H83" s="4"/>
      <c r="I83" s="4"/>
    </row>
    <row r="84" spans="1:12" x14ac:dyDescent="0.2">
      <c r="A84" s="4"/>
      <c r="B84" s="4" t="s">
        <v>74</v>
      </c>
      <c r="C84" s="4"/>
      <c r="D84" s="4"/>
      <c r="E84" s="4"/>
      <c r="F84" s="4"/>
      <c r="G84" s="4"/>
      <c r="H84" s="4"/>
      <c r="I84" s="4"/>
    </row>
    <row r="85" spans="1:12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12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12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12" x14ac:dyDescent="0.2">
      <c r="A88" s="4"/>
      <c r="B88" s="4" t="s">
        <v>77</v>
      </c>
      <c r="C88" s="4"/>
      <c r="D88" s="4"/>
      <c r="E88" s="4"/>
      <c r="F88" s="4"/>
      <c r="G88" s="4"/>
      <c r="H88" s="4"/>
      <c r="I88" s="4"/>
    </row>
    <row r="89" spans="1:12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12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12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12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12" x14ac:dyDescent="0.2">
      <c r="A93" s="4"/>
      <c r="B93" s="4"/>
      <c r="C93" s="151" t="s">
        <v>78</v>
      </c>
      <c r="D93" s="170">
        <f>E15/E16</f>
        <v>1500</v>
      </c>
      <c r="E93" s="4"/>
      <c r="F93" s="4"/>
      <c r="G93" s="4"/>
      <c r="H93" s="4"/>
      <c r="I93" s="4"/>
    </row>
    <row r="94" spans="1:12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12" x14ac:dyDescent="0.2">
      <c r="A95" s="4"/>
      <c r="B95" s="4" t="s">
        <v>75</v>
      </c>
      <c r="C95" s="4"/>
      <c r="D95" s="4"/>
      <c r="E95" s="4"/>
      <c r="F95" s="4"/>
      <c r="G95" s="4"/>
      <c r="H95" s="4"/>
      <c r="I95" s="4"/>
      <c r="L95" s="24"/>
    </row>
    <row r="96" spans="1:12" x14ac:dyDescent="0.2">
      <c r="A96" s="4"/>
      <c r="B96" s="4"/>
      <c r="C96" s="4"/>
      <c r="D96" s="4"/>
      <c r="E96" s="4"/>
      <c r="F96" s="4"/>
      <c r="G96" s="4"/>
      <c r="H96" s="4"/>
      <c r="I96" s="4"/>
      <c r="L96" s="24"/>
    </row>
    <row r="97" spans="1:12" x14ac:dyDescent="0.2">
      <c r="A97" s="4"/>
      <c r="B97" s="4" t="s">
        <v>116</v>
      </c>
      <c r="C97" s="4"/>
      <c r="D97" s="4"/>
      <c r="E97" s="4"/>
      <c r="F97" s="4"/>
      <c r="G97" s="4" t="s">
        <v>117</v>
      </c>
      <c r="H97" s="4"/>
      <c r="I97" s="4"/>
      <c r="L97" s="24"/>
    </row>
    <row r="98" spans="1:12" ht="16" customHeight="1" x14ac:dyDescent="0.2">
      <c r="A98" s="4"/>
      <c r="B98" s="4"/>
      <c r="C98" s="53"/>
      <c r="D98" s="212" t="s">
        <v>26</v>
      </c>
      <c r="E98" s="216" t="s">
        <v>76</v>
      </c>
      <c r="F98" s="4"/>
      <c r="G98" s="4"/>
      <c r="H98" s="53"/>
      <c r="I98" s="212" t="s">
        <v>26</v>
      </c>
      <c r="J98" s="216" t="s">
        <v>76</v>
      </c>
      <c r="K98" s="24"/>
    </row>
    <row r="99" spans="1:12" x14ac:dyDescent="0.2">
      <c r="A99" s="4"/>
      <c r="B99" s="4"/>
      <c r="C99" s="37" t="s">
        <v>27</v>
      </c>
      <c r="D99" s="213"/>
      <c r="E99" s="217"/>
      <c r="F99" s="4"/>
      <c r="G99" s="4"/>
      <c r="H99" s="37" t="s">
        <v>27</v>
      </c>
      <c r="I99" s="213"/>
      <c r="J99" s="217"/>
      <c r="K99" s="24"/>
    </row>
    <row r="100" spans="1:12" x14ac:dyDescent="0.2">
      <c r="A100" s="4"/>
      <c r="B100" s="4"/>
      <c r="C100" s="50">
        <v>1</v>
      </c>
      <c r="D100" s="50">
        <f t="shared" ref="D100:D114" si="0">D33</f>
        <v>50</v>
      </c>
      <c r="E100" s="63">
        <f>MIN(D100,$E$11/1000)</f>
        <v>50</v>
      </c>
      <c r="F100" s="4"/>
      <c r="G100" s="4"/>
      <c r="H100" s="50">
        <v>1</v>
      </c>
      <c r="I100" s="50">
        <f>H33</f>
        <v>25</v>
      </c>
      <c r="J100" s="63">
        <f>MIN(I100,$E$11/1000)</f>
        <v>25</v>
      </c>
      <c r="K100" s="24"/>
    </row>
    <row r="101" spans="1:12" x14ac:dyDescent="0.2">
      <c r="A101" s="4"/>
      <c r="B101" s="4"/>
      <c r="C101" s="50">
        <v>2</v>
      </c>
      <c r="D101" s="50">
        <f t="shared" si="0"/>
        <v>40</v>
      </c>
      <c r="E101" s="63">
        <f t="shared" ref="E101:E114" si="1">MIN(D101,$E$11/1000)</f>
        <v>40</v>
      </c>
      <c r="F101" s="4"/>
      <c r="G101" s="4"/>
      <c r="H101" s="50">
        <v>2</v>
      </c>
      <c r="I101" s="50">
        <f t="shared" ref="I101:I119" si="2">H34</f>
        <v>50</v>
      </c>
      <c r="J101" s="63">
        <f t="shared" ref="J101:J119" si="3">MIN(I101,$E$11/1000)</f>
        <v>50</v>
      </c>
      <c r="K101" s="24"/>
    </row>
    <row r="102" spans="1:12" x14ac:dyDescent="0.2">
      <c r="A102" s="4"/>
      <c r="B102" s="4"/>
      <c r="C102" s="50">
        <v>3</v>
      </c>
      <c r="D102" s="50">
        <f t="shared" si="0"/>
        <v>80</v>
      </c>
      <c r="E102" s="63">
        <f t="shared" si="1"/>
        <v>80</v>
      </c>
      <c r="F102" s="4"/>
      <c r="G102" s="4"/>
      <c r="H102" s="50">
        <v>3</v>
      </c>
      <c r="I102" s="50">
        <f t="shared" si="2"/>
        <v>125</v>
      </c>
      <c r="J102" s="63">
        <f t="shared" si="3"/>
        <v>125</v>
      </c>
      <c r="K102" s="24"/>
    </row>
    <row r="103" spans="1:12" x14ac:dyDescent="0.2">
      <c r="A103" s="4"/>
      <c r="B103" s="4"/>
      <c r="C103" s="50">
        <v>4</v>
      </c>
      <c r="D103" s="50">
        <f t="shared" si="0"/>
        <v>125</v>
      </c>
      <c r="E103" s="63">
        <f t="shared" si="1"/>
        <v>125</v>
      </c>
      <c r="F103" s="4"/>
      <c r="G103" s="4"/>
      <c r="H103" s="50">
        <v>4</v>
      </c>
      <c r="I103" s="50">
        <f t="shared" si="2"/>
        <v>500</v>
      </c>
      <c r="J103" s="63">
        <f t="shared" si="3"/>
        <v>200</v>
      </c>
      <c r="K103" s="24"/>
    </row>
    <row r="104" spans="1:12" x14ac:dyDescent="0.2">
      <c r="A104" s="4"/>
      <c r="B104" s="4"/>
      <c r="C104" s="50">
        <v>5</v>
      </c>
      <c r="D104" s="50">
        <f t="shared" si="0"/>
        <v>300</v>
      </c>
      <c r="E104" s="63">
        <f t="shared" si="1"/>
        <v>200</v>
      </c>
      <c r="F104" s="4"/>
      <c r="G104" s="4"/>
      <c r="H104" s="50">
        <v>5</v>
      </c>
      <c r="I104" s="50">
        <f t="shared" si="2"/>
        <v>80</v>
      </c>
      <c r="J104" s="63">
        <f t="shared" si="3"/>
        <v>80</v>
      </c>
      <c r="K104" s="24"/>
    </row>
    <row r="105" spans="1:12" x14ac:dyDescent="0.2">
      <c r="A105" s="4"/>
      <c r="B105" s="4"/>
      <c r="C105" s="50">
        <v>6</v>
      </c>
      <c r="D105" s="50">
        <f t="shared" si="0"/>
        <v>400</v>
      </c>
      <c r="E105" s="63">
        <f t="shared" si="1"/>
        <v>200</v>
      </c>
      <c r="F105" s="4"/>
      <c r="G105" s="4"/>
      <c r="H105" s="50">
        <v>6</v>
      </c>
      <c r="I105" s="50">
        <f t="shared" si="2"/>
        <v>40</v>
      </c>
      <c r="J105" s="63">
        <f>MIN(I105,$E$11/1000)</f>
        <v>40</v>
      </c>
      <c r="K105" s="24"/>
    </row>
    <row r="106" spans="1:12" x14ac:dyDescent="0.2">
      <c r="A106" s="22"/>
      <c r="B106" s="4"/>
      <c r="C106" s="50">
        <v>7</v>
      </c>
      <c r="D106" s="50">
        <f t="shared" si="0"/>
        <v>90</v>
      </c>
      <c r="E106" s="63">
        <f t="shared" si="1"/>
        <v>90</v>
      </c>
      <c r="F106" s="4"/>
      <c r="G106" s="4"/>
      <c r="H106" s="50">
        <v>7</v>
      </c>
      <c r="I106" s="50">
        <f t="shared" si="2"/>
        <v>250</v>
      </c>
      <c r="J106" s="63">
        <f t="shared" si="3"/>
        <v>200</v>
      </c>
    </row>
    <row r="107" spans="1:12" x14ac:dyDescent="0.2">
      <c r="A107" s="4"/>
      <c r="B107" s="4"/>
      <c r="C107" s="50">
        <v>8</v>
      </c>
      <c r="D107" s="14">
        <f t="shared" si="0"/>
        <v>750</v>
      </c>
      <c r="E107" s="63">
        <f t="shared" si="1"/>
        <v>200</v>
      </c>
      <c r="F107" s="4"/>
      <c r="G107" s="4"/>
      <c r="H107" s="50">
        <v>8</v>
      </c>
      <c r="I107" s="14">
        <f t="shared" si="2"/>
        <v>65</v>
      </c>
      <c r="J107" s="63">
        <f t="shared" si="3"/>
        <v>65</v>
      </c>
    </row>
    <row r="108" spans="1:12" x14ac:dyDescent="0.2">
      <c r="A108" s="4"/>
      <c r="B108" s="4"/>
      <c r="C108" s="50">
        <v>9</v>
      </c>
      <c r="D108" s="50">
        <f t="shared" si="0"/>
        <v>25</v>
      </c>
      <c r="E108" s="63">
        <f t="shared" si="1"/>
        <v>25</v>
      </c>
      <c r="F108" s="4"/>
      <c r="G108" s="4"/>
      <c r="H108" s="50">
        <v>9</v>
      </c>
      <c r="I108" s="50">
        <f t="shared" si="2"/>
        <v>90</v>
      </c>
      <c r="J108" s="63">
        <f t="shared" si="3"/>
        <v>90</v>
      </c>
    </row>
    <row r="109" spans="1:12" x14ac:dyDescent="0.2">
      <c r="A109" s="4"/>
      <c r="B109" s="4"/>
      <c r="C109" s="50">
        <v>10</v>
      </c>
      <c r="D109" s="50">
        <f t="shared" si="0"/>
        <v>200</v>
      </c>
      <c r="E109" s="63">
        <f t="shared" si="1"/>
        <v>200</v>
      </c>
      <c r="F109" s="4"/>
      <c r="G109" s="4"/>
      <c r="H109" s="50">
        <v>10</v>
      </c>
      <c r="I109" s="50">
        <f t="shared" si="2"/>
        <v>110</v>
      </c>
      <c r="J109" s="63">
        <f t="shared" si="3"/>
        <v>110</v>
      </c>
    </row>
    <row r="110" spans="1:12" x14ac:dyDescent="0.2">
      <c r="A110" s="4"/>
      <c r="B110" s="4"/>
      <c r="C110" s="50">
        <v>11</v>
      </c>
      <c r="D110" s="50">
        <f t="shared" si="0"/>
        <v>150</v>
      </c>
      <c r="E110" s="63">
        <f t="shared" si="1"/>
        <v>150</v>
      </c>
      <c r="F110" s="4"/>
      <c r="G110" s="4"/>
      <c r="H110" s="50">
        <v>11</v>
      </c>
      <c r="I110" s="50">
        <f t="shared" si="2"/>
        <v>45</v>
      </c>
      <c r="J110" s="63">
        <f t="shared" si="3"/>
        <v>45</v>
      </c>
    </row>
    <row r="111" spans="1:12" x14ac:dyDescent="0.2">
      <c r="A111" s="4"/>
      <c r="B111" s="4"/>
      <c r="C111" s="50">
        <v>12</v>
      </c>
      <c r="D111" s="50">
        <f t="shared" si="0"/>
        <v>100</v>
      </c>
      <c r="E111" s="63">
        <f t="shared" si="1"/>
        <v>100</v>
      </c>
      <c r="F111" s="4"/>
      <c r="G111" s="4"/>
      <c r="H111" s="50">
        <v>12</v>
      </c>
      <c r="I111" s="50">
        <f t="shared" si="2"/>
        <v>5</v>
      </c>
      <c r="J111" s="63">
        <f t="shared" si="3"/>
        <v>5</v>
      </c>
    </row>
    <row r="112" spans="1:12" x14ac:dyDescent="0.2">
      <c r="A112" s="4"/>
      <c r="B112" s="4"/>
      <c r="C112" s="50">
        <v>13</v>
      </c>
      <c r="D112" s="50">
        <f t="shared" si="0"/>
        <v>125</v>
      </c>
      <c r="E112" s="63">
        <f>MIN(D112,$E$11/1000)</f>
        <v>125</v>
      </c>
      <c r="F112" s="4"/>
      <c r="G112" s="4"/>
      <c r="H112" s="50">
        <v>13</v>
      </c>
      <c r="I112" s="50">
        <f t="shared" si="2"/>
        <v>400</v>
      </c>
      <c r="J112" s="63">
        <f t="shared" si="3"/>
        <v>200</v>
      </c>
    </row>
    <row r="113" spans="1:14" x14ac:dyDescent="0.2">
      <c r="A113" s="4"/>
      <c r="B113" s="4"/>
      <c r="C113" s="50">
        <v>14</v>
      </c>
      <c r="D113" s="50">
        <f t="shared" si="0"/>
        <v>250</v>
      </c>
      <c r="E113" s="63">
        <f t="shared" si="1"/>
        <v>200</v>
      </c>
      <c r="F113" s="4"/>
      <c r="G113" s="4"/>
      <c r="H113" s="50">
        <v>14</v>
      </c>
      <c r="I113" s="50">
        <f t="shared" si="2"/>
        <v>350</v>
      </c>
      <c r="J113" s="63">
        <f t="shared" si="3"/>
        <v>200</v>
      </c>
    </row>
    <row r="114" spans="1:14" x14ac:dyDescent="0.2">
      <c r="A114" s="4"/>
      <c r="B114" s="4"/>
      <c r="C114" s="37">
        <v>15</v>
      </c>
      <c r="D114" s="37">
        <f t="shared" si="0"/>
        <v>35</v>
      </c>
      <c r="E114" s="109">
        <f t="shared" si="1"/>
        <v>35</v>
      </c>
      <c r="F114" s="4"/>
      <c r="G114" s="4"/>
      <c r="H114" s="50">
        <v>15</v>
      </c>
      <c r="I114" s="50">
        <f t="shared" si="2"/>
        <v>175</v>
      </c>
      <c r="J114" s="63">
        <f t="shared" si="3"/>
        <v>175</v>
      </c>
    </row>
    <row r="115" spans="1:14" x14ac:dyDescent="0.2">
      <c r="A115" s="4"/>
      <c r="B115" s="4"/>
      <c r="C115" s="43" t="s">
        <v>4</v>
      </c>
      <c r="D115" s="14">
        <f>SUM(D100:D114)</f>
        <v>2720</v>
      </c>
      <c r="E115" s="15">
        <f>SUM(E100:E114)</f>
        <v>1820</v>
      </c>
      <c r="F115" s="4"/>
      <c r="G115" s="4"/>
      <c r="H115" s="50">
        <v>16</v>
      </c>
      <c r="I115" s="50">
        <f t="shared" si="2"/>
        <v>55</v>
      </c>
      <c r="J115" s="63">
        <f t="shared" si="3"/>
        <v>55</v>
      </c>
    </row>
    <row r="116" spans="1:14" x14ac:dyDescent="0.2">
      <c r="A116" s="4"/>
      <c r="B116" s="4"/>
      <c r="C116" s="31"/>
      <c r="D116" s="31"/>
      <c r="E116" s="63"/>
      <c r="F116" s="4"/>
      <c r="G116" s="4"/>
      <c r="H116" s="50">
        <v>17</v>
      </c>
      <c r="I116" s="50">
        <f t="shared" si="2"/>
        <v>75</v>
      </c>
      <c r="J116" s="63">
        <f t="shared" si="3"/>
        <v>75</v>
      </c>
    </row>
    <row r="117" spans="1:14" x14ac:dyDescent="0.2">
      <c r="A117" s="22"/>
      <c r="B117" s="4"/>
      <c r="C117" s="31"/>
      <c r="D117" s="31"/>
      <c r="E117" s="63"/>
      <c r="F117" s="4"/>
      <c r="G117" s="4"/>
      <c r="H117" s="50">
        <v>18</v>
      </c>
      <c r="I117" s="50">
        <f t="shared" si="2"/>
        <v>40</v>
      </c>
      <c r="J117" s="63">
        <f t="shared" si="3"/>
        <v>40</v>
      </c>
    </row>
    <row r="118" spans="1:14" x14ac:dyDescent="0.2">
      <c r="A118" s="4"/>
      <c r="B118" s="4"/>
      <c r="C118" s="31"/>
      <c r="D118" s="31"/>
      <c r="E118" s="63"/>
      <c r="F118" s="4"/>
      <c r="G118" s="4"/>
      <c r="H118" s="50">
        <v>19</v>
      </c>
      <c r="I118" s="50">
        <f t="shared" si="2"/>
        <v>125</v>
      </c>
      <c r="J118" s="63">
        <f t="shared" si="3"/>
        <v>125</v>
      </c>
      <c r="K118" s="4"/>
      <c r="L118" s="23"/>
      <c r="M118" s="4"/>
    </row>
    <row r="119" spans="1:14" x14ac:dyDescent="0.2">
      <c r="A119" s="4"/>
      <c r="B119" s="4"/>
      <c r="C119" s="31"/>
      <c r="D119" s="31"/>
      <c r="E119" s="63"/>
      <c r="F119" s="4"/>
      <c r="G119" s="4"/>
      <c r="H119" s="37">
        <v>20</v>
      </c>
      <c r="I119" s="37">
        <f t="shared" si="2"/>
        <v>150</v>
      </c>
      <c r="J119" s="109">
        <f t="shared" si="3"/>
        <v>150</v>
      </c>
      <c r="K119" s="24"/>
      <c r="L119" s="24"/>
      <c r="M119" s="24"/>
    </row>
    <row r="120" spans="1:14" x14ac:dyDescent="0.2">
      <c r="A120" s="4"/>
      <c r="B120" s="4"/>
      <c r="C120" s="63"/>
      <c r="D120" s="15"/>
      <c r="E120" s="15"/>
      <c r="F120" s="4"/>
      <c r="G120" s="75"/>
      <c r="H120" s="43" t="s">
        <v>4</v>
      </c>
      <c r="I120" s="14">
        <f>SUM(I100:I119)</f>
        <v>2755</v>
      </c>
      <c r="J120" s="15">
        <f t="shared" ref="J120" si="4">SUM(J100:J119)</f>
        <v>2055</v>
      </c>
      <c r="K120" s="24"/>
      <c r="L120" s="24"/>
      <c r="M120" s="24"/>
    </row>
    <row r="121" spans="1:14" ht="17" thickBot="1" x14ac:dyDescent="0.25">
      <c r="A121" s="4"/>
      <c r="B121" s="4"/>
      <c r="C121" s="4"/>
      <c r="D121" s="4"/>
      <c r="E121" s="4"/>
      <c r="F121" s="4"/>
      <c r="G121" s="4"/>
      <c r="H121" s="4"/>
      <c r="I121" s="4"/>
      <c r="L121" s="24"/>
      <c r="M121" s="24"/>
      <c r="N121" s="24"/>
    </row>
    <row r="122" spans="1:14" ht="19" thickBot="1" x14ac:dyDescent="0.3">
      <c r="A122" s="4"/>
      <c r="B122" s="4"/>
      <c r="C122" s="46" t="s">
        <v>129</v>
      </c>
      <c r="D122" s="67">
        <f>MAX(E9,MIN((E115+D93)/(E12/1000+D93),E10))</f>
        <v>1.1066666666666667</v>
      </c>
      <c r="E122" s="4"/>
      <c r="F122" s="4"/>
      <c r="G122" s="4"/>
      <c r="H122" s="46" t="s">
        <v>130</v>
      </c>
      <c r="I122" s="67">
        <f>MAX(E9,MIN((J120+D93)/(E12/1000+D93),E10))</f>
        <v>1.1850000000000001</v>
      </c>
      <c r="L122" s="24"/>
      <c r="M122" s="24"/>
      <c r="N122" s="24"/>
    </row>
    <row r="123" spans="1:14" x14ac:dyDescent="0.2">
      <c r="A123" s="4"/>
      <c r="B123" s="4"/>
      <c r="C123" s="4"/>
      <c r="D123" s="4"/>
      <c r="E123" s="4"/>
      <c r="F123" s="4"/>
      <c r="G123" s="4"/>
      <c r="H123" s="4"/>
      <c r="I123" s="4"/>
      <c r="L123" s="4"/>
      <c r="M123" s="23"/>
      <c r="N123" s="4"/>
    </row>
    <row r="124" spans="1:14" x14ac:dyDescent="0.2">
      <c r="A124" s="4"/>
      <c r="B124" s="4" t="s">
        <v>80</v>
      </c>
      <c r="C124" s="4"/>
      <c r="D124" s="4"/>
      <c r="E124" s="4"/>
      <c r="F124" s="4"/>
      <c r="G124" s="4"/>
      <c r="H124" s="4"/>
      <c r="I124" s="4"/>
      <c r="L124" s="4"/>
      <c r="M124" s="23"/>
      <c r="N124" s="4"/>
    </row>
    <row r="125" spans="1:14" x14ac:dyDescent="0.2">
      <c r="A125" s="4"/>
      <c r="B125" s="4"/>
      <c r="C125" s="4"/>
      <c r="D125" s="4"/>
      <c r="E125" s="4"/>
      <c r="F125" s="4"/>
      <c r="G125" s="4"/>
      <c r="H125" s="4"/>
      <c r="I125" s="4"/>
      <c r="L125" s="4"/>
      <c r="M125" s="23"/>
      <c r="N125" s="4"/>
    </row>
    <row r="126" spans="1:14" x14ac:dyDescent="0.2">
      <c r="A126" s="4"/>
      <c r="B126" s="229" t="s">
        <v>112</v>
      </c>
      <c r="C126" s="235"/>
      <c r="D126" s="229" t="s">
        <v>113</v>
      </c>
      <c r="E126" s="235"/>
      <c r="F126" s="229" t="s">
        <v>114</v>
      </c>
      <c r="G126" s="229"/>
      <c r="H126" s="4"/>
      <c r="I126" s="4"/>
      <c r="L126" s="4"/>
      <c r="M126" s="23"/>
      <c r="N126" s="4"/>
    </row>
    <row r="127" spans="1:14" x14ac:dyDescent="0.2">
      <c r="A127" s="4"/>
      <c r="B127" s="231" t="s">
        <v>111</v>
      </c>
      <c r="C127" s="237"/>
      <c r="D127" s="230">
        <v>0.1</v>
      </c>
      <c r="E127" s="237"/>
      <c r="F127" s="230">
        <v>-0.1</v>
      </c>
      <c r="G127" s="231"/>
      <c r="H127" s="4"/>
      <c r="I127" s="4"/>
      <c r="L127" s="4"/>
      <c r="M127" s="23"/>
      <c r="N127" s="4"/>
    </row>
    <row r="128" spans="1:14" x14ac:dyDescent="0.2">
      <c r="A128" s="4"/>
      <c r="B128" s="231" t="s">
        <v>85</v>
      </c>
      <c r="C128" s="237"/>
      <c r="D128" s="230">
        <v>-0.1</v>
      </c>
      <c r="E128" s="237"/>
      <c r="F128" s="230">
        <v>0</v>
      </c>
      <c r="G128" s="231"/>
      <c r="H128" s="4"/>
      <c r="I128" s="4"/>
      <c r="L128" s="4"/>
      <c r="M128" s="23"/>
      <c r="N128" s="4"/>
    </row>
    <row r="129" spans="1:14" x14ac:dyDescent="0.2">
      <c r="A129" s="4"/>
      <c r="B129" s="229" t="s">
        <v>84</v>
      </c>
      <c r="C129" s="235"/>
      <c r="D129" s="232">
        <v>0.06</v>
      </c>
      <c r="E129" s="236"/>
      <c r="F129" s="232">
        <v>-0.06</v>
      </c>
      <c r="G129" s="233"/>
      <c r="H129" s="4"/>
      <c r="I129" s="4"/>
      <c r="L129" s="4"/>
      <c r="M129" s="23"/>
      <c r="N129" s="4"/>
    </row>
    <row r="130" spans="1:14" x14ac:dyDescent="0.2">
      <c r="A130" s="4"/>
      <c r="B130" s="220" t="s">
        <v>4</v>
      </c>
      <c r="C130" s="221"/>
      <c r="D130" s="234">
        <f>SUM(D127:E129)</f>
        <v>0.06</v>
      </c>
      <c r="E130" s="221"/>
      <c r="F130" s="234">
        <f>SUM(F127:G129)</f>
        <v>-0.16</v>
      </c>
      <c r="G130" s="220"/>
      <c r="H130" s="4"/>
      <c r="I130" s="4"/>
      <c r="L130" s="4"/>
      <c r="M130" s="23"/>
      <c r="N130" s="4"/>
    </row>
    <row r="131" spans="1:14" x14ac:dyDescent="0.2">
      <c r="A131" s="4"/>
      <c r="B131" s="69"/>
      <c r="C131" s="69"/>
      <c r="D131" s="70"/>
      <c r="E131" s="69"/>
      <c r="F131" s="4"/>
      <c r="G131" s="4"/>
      <c r="H131" s="4"/>
      <c r="I131" s="4"/>
      <c r="L131" s="4"/>
      <c r="M131" s="23"/>
      <c r="N131" s="4"/>
    </row>
    <row r="132" spans="1:14" x14ac:dyDescent="0.2">
      <c r="A132" s="4"/>
      <c r="B132" s="71" t="s">
        <v>133</v>
      </c>
      <c r="C132" s="69"/>
      <c r="D132" s="70"/>
      <c r="E132" s="69"/>
      <c r="F132" s="4"/>
      <c r="G132" s="4"/>
      <c r="H132" s="4"/>
      <c r="I132" s="4"/>
      <c r="L132" s="4"/>
      <c r="M132" s="23"/>
      <c r="N132" s="4"/>
    </row>
    <row r="133" spans="1:14" x14ac:dyDescent="0.2">
      <c r="A133" s="4"/>
      <c r="B133" s="71" t="s">
        <v>134</v>
      </c>
      <c r="C133" s="69"/>
      <c r="D133" s="70"/>
      <c r="E133" s="69"/>
      <c r="F133" s="4"/>
      <c r="G133" s="4"/>
      <c r="H133" s="4"/>
      <c r="I133" s="4"/>
      <c r="L133" s="4"/>
      <c r="M133" s="23"/>
      <c r="N133" s="4"/>
    </row>
    <row r="134" spans="1:14" x14ac:dyDescent="0.2">
      <c r="A134" s="4"/>
      <c r="B134" s="71" t="s">
        <v>135</v>
      </c>
      <c r="C134" s="69"/>
      <c r="D134" s="70"/>
      <c r="E134" s="69"/>
      <c r="F134" s="4"/>
      <c r="G134" s="4"/>
      <c r="H134" s="4"/>
      <c r="I134" s="4"/>
      <c r="L134" s="4"/>
      <c r="M134" s="23"/>
      <c r="N134" s="4"/>
    </row>
    <row r="135" spans="1:14" x14ac:dyDescent="0.2">
      <c r="A135" s="4"/>
      <c r="B135" s="69"/>
      <c r="C135" s="69"/>
      <c r="D135" s="70"/>
      <c r="E135" s="69"/>
      <c r="F135" s="4"/>
      <c r="G135" s="4"/>
      <c r="H135" s="4"/>
      <c r="I135" s="4"/>
      <c r="L135" s="4"/>
      <c r="M135" s="23"/>
      <c r="N135" s="4"/>
    </row>
    <row r="136" spans="1:14" x14ac:dyDescent="0.2">
      <c r="A136" s="4"/>
      <c r="B136" s="72" t="s">
        <v>168</v>
      </c>
      <c r="C136" s="4"/>
      <c r="D136" s="4"/>
      <c r="E136" s="4"/>
      <c r="F136" s="4"/>
      <c r="G136" s="4"/>
      <c r="H136" s="4"/>
      <c r="I136" s="4"/>
      <c r="L136" s="4"/>
      <c r="M136" s="23"/>
      <c r="N136" s="4"/>
    </row>
    <row r="137" spans="1:14" x14ac:dyDescent="0.2">
      <c r="A137" s="4"/>
      <c r="B137" s="72"/>
      <c r="C137" s="4"/>
      <c r="D137" s="4"/>
      <c r="E137" s="4"/>
      <c r="F137" s="4"/>
      <c r="G137" s="4"/>
      <c r="H137" s="4"/>
      <c r="I137" s="4"/>
      <c r="L137" s="4"/>
      <c r="M137" s="23"/>
      <c r="N137" s="4"/>
    </row>
    <row r="138" spans="1:14" x14ac:dyDescent="0.2">
      <c r="A138" s="4"/>
      <c r="B138" s="72"/>
      <c r="C138" s="4"/>
      <c r="D138" s="4"/>
      <c r="E138" s="4"/>
      <c r="F138" s="4"/>
      <c r="G138" s="4"/>
      <c r="H138" s="4"/>
      <c r="I138" s="4"/>
      <c r="L138" s="4"/>
      <c r="M138" s="23"/>
      <c r="N138" s="4"/>
    </row>
    <row r="139" spans="1:14" x14ac:dyDescent="0.2">
      <c r="A139" s="4"/>
      <c r="B139" s="72"/>
      <c r="C139" s="4"/>
      <c r="D139" s="4"/>
      <c r="E139" s="4"/>
      <c r="F139" s="4"/>
      <c r="G139" s="4"/>
      <c r="H139" s="4"/>
      <c r="I139" s="4"/>
      <c r="L139" s="4"/>
      <c r="M139" s="23"/>
      <c r="N139" s="4"/>
    </row>
    <row r="140" spans="1:14" x14ac:dyDescent="0.2">
      <c r="A140" s="4"/>
      <c r="B140" s="72" t="s">
        <v>136</v>
      </c>
      <c r="C140" s="4"/>
      <c r="D140" s="4"/>
      <c r="E140" s="4"/>
      <c r="F140" s="4"/>
      <c r="G140" s="4"/>
      <c r="H140" s="4"/>
      <c r="I140" s="4"/>
      <c r="L140" s="4"/>
      <c r="M140" s="23"/>
      <c r="N140" s="4"/>
    </row>
    <row r="141" spans="1:14" x14ac:dyDescent="0.2">
      <c r="A141" s="4"/>
      <c r="B141" s="72" t="s">
        <v>137</v>
      </c>
      <c r="C141" s="4"/>
      <c r="D141" s="4"/>
      <c r="E141" s="4"/>
      <c r="F141" s="4"/>
      <c r="G141" s="4"/>
      <c r="H141" s="4"/>
      <c r="I141" s="4"/>
      <c r="L141" s="4"/>
      <c r="M141" s="23"/>
      <c r="N141" s="4"/>
    </row>
    <row r="142" spans="1:14" ht="17" thickBot="1" x14ac:dyDescent="0.25">
      <c r="A142" s="4"/>
      <c r="B142" s="72"/>
      <c r="C142" s="4"/>
      <c r="D142" s="4"/>
      <c r="E142" s="4"/>
      <c r="F142" s="4"/>
      <c r="G142" s="4"/>
      <c r="H142" s="4"/>
      <c r="I142" s="4"/>
      <c r="L142" s="4"/>
      <c r="M142" s="23"/>
      <c r="N142" s="4"/>
    </row>
    <row r="143" spans="1:14" ht="19" thickBot="1" x14ac:dyDescent="0.3">
      <c r="A143" s="4"/>
      <c r="B143" s="4"/>
      <c r="C143" s="46" t="s">
        <v>138</v>
      </c>
      <c r="D143" s="67">
        <f>(D122)*(1+D130)</f>
        <v>1.1730666666666667</v>
      </c>
      <c r="E143" s="4"/>
      <c r="F143" s="4"/>
      <c r="G143" s="4"/>
      <c r="H143" s="46" t="s">
        <v>139</v>
      </c>
      <c r="I143" s="67">
        <f>(I122)*(1+F130)</f>
        <v>0.99540000000000006</v>
      </c>
      <c r="L143" s="4"/>
      <c r="M143" s="23"/>
      <c r="N143" s="4"/>
    </row>
    <row r="144" spans="1:14" x14ac:dyDescent="0.2">
      <c r="A144" s="4"/>
      <c r="B144" s="4"/>
      <c r="C144" s="4"/>
      <c r="D144" s="4"/>
      <c r="E144" s="4"/>
      <c r="F144" s="4"/>
      <c r="G144" s="4"/>
      <c r="H144" s="4"/>
      <c r="I144" s="4"/>
      <c r="L144" s="4"/>
      <c r="M144" s="23"/>
      <c r="N144" s="4"/>
    </row>
    <row r="145" spans="1:14" x14ac:dyDescent="0.2">
      <c r="A145" s="4"/>
      <c r="B145" s="4" t="s">
        <v>140</v>
      </c>
      <c r="C145" s="4"/>
      <c r="D145" s="4"/>
      <c r="E145" s="4"/>
      <c r="F145" s="4"/>
      <c r="G145" s="4"/>
      <c r="H145" s="4"/>
      <c r="I145" s="4"/>
      <c r="L145" s="4"/>
      <c r="M145" s="23"/>
      <c r="N145" s="4"/>
    </row>
    <row r="146" spans="1:14" x14ac:dyDescent="0.2">
      <c r="A146" s="4"/>
      <c r="B146" s="4"/>
      <c r="C146" s="4"/>
      <c r="D146" s="4"/>
      <c r="E146" s="4"/>
      <c r="F146" s="4"/>
      <c r="G146" s="4"/>
      <c r="H146" s="4"/>
      <c r="I146" s="4"/>
      <c r="L146" s="24"/>
      <c r="M146" s="24"/>
      <c r="N146" s="24"/>
    </row>
    <row r="147" spans="1:14" ht="19" x14ac:dyDescent="0.25">
      <c r="A147" s="21" t="s">
        <v>5</v>
      </c>
      <c r="B147" s="4"/>
      <c r="C147" s="4"/>
      <c r="D147" s="4"/>
      <c r="E147" s="4"/>
      <c r="F147" s="4"/>
      <c r="G147" s="4"/>
      <c r="H147" s="4"/>
      <c r="I147" s="4"/>
      <c r="L147" s="24"/>
      <c r="M147" s="24"/>
      <c r="N147" s="24"/>
    </row>
    <row r="148" spans="1:14" x14ac:dyDescent="0.2">
      <c r="A148" s="4" t="s">
        <v>141</v>
      </c>
      <c r="B148" s="4"/>
      <c r="C148" s="4"/>
      <c r="D148" s="4"/>
      <c r="E148" s="4"/>
      <c r="F148" s="4"/>
      <c r="G148" s="4"/>
      <c r="H148" s="4"/>
      <c r="I148" s="4"/>
      <c r="L148" s="24"/>
      <c r="M148" s="24"/>
      <c r="N148" s="24"/>
    </row>
    <row r="149" spans="1:14" x14ac:dyDescent="0.2">
      <c r="A149" s="4" t="s">
        <v>142</v>
      </c>
      <c r="B149" s="4"/>
      <c r="C149" s="4"/>
      <c r="D149" s="4"/>
      <c r="E149" s="4"/>
      <c r="F149" s="4"/>
      <c r="G149" s="4"/>
      <c r="H149" s="4"/>
      <c r="I149" s="4"/>
      <c r="L149" s="24"/>
      <c r="M149" s="24"/>
      <c r="N149" s="24"/>
    </row>
    <row r="150" spans="1:14" x14ac:dyDescent="0.2">
      <c r="A150" s="4" t="s">
        <v>143</v>
      </c>
      <c r="B150" s="4"/>
      <c r="C150" s="4"/>
      <c r="D150" s="4"/>
      <c r="E150" s="4"/>
      <c r="F150" s="4"/>
      <c r="G150" s="4"/>
      <c r="H150" s="4"/>
      <c r="I150" s="4"/>
      <c r="L150" s="24"/>
      <c r="M150" s="24"/>
      <c r="N150" s="24"/>
    </row>
    <row r="151" spans="1:14" x14ac:dyDescent="0.2">
      <c r="A151" s="4"/>
      <c r="B151" s="4"/>
      <c r="C151" s="4"/>
      <c r="D151" s="4"/>
      <c r="E151" s="4"/>
      <c r="F151" s="4"/>
      <c r="G151" s="4"/>
      <c r="H151" s="4"/>
      <c r="I151" s="4"/>
      <c r="L151" s="24"/>
      <c r="M151" s="24"/>
      <c r="N151" s="24"/>
    </row>
    <row r="152" spans="1:14" x14ac:dyDescent="0.2">
      <c r="A152" s="4" t="s">
        <v>144</v>
      </c>
      <c r="B152" s="4"/>
      <c r="C152" s="4"/>
      <c r="D152" s="4"/>
      <c r="E152" s="4"/>
      <c r="F152" s="4"/>
      <c r="G152" s="4"/>
      <c r="H152" s="4"/>
      <c r="I152" s="4"/>
      <c r="L152" s="24"/>
      <c r="M152" s="24"/>
      <c r="N152" s="24"/>
    </row>
    <row r="153" spans="1:14" x14ac:dyDescent="0.2">
      <c r="A153" s="4" t="s">
        <v>145</v>
      </c>
      <c r="B153" s="4"/>
      <c r="C153" s="4"/>
      <c r="D153" s="4"/>
      <c r="E153" s="4"/>
      <c r="F153" s="4"/>
      <c r="G153" s="4"/>
      <c r="H153" s="4"/>
      <c r="I153" s="4"/>
      <c r="L153" s="24"/>
      <c r="M153" s="24"/>
      <c r="N153" s="24"/>
    </row>
    <row r="154" spans="1:14" x14ac:dyDescent="0.2">
      <c r="A154" s="4"/>
      <c r="B154" s="4"/>
      <c r="C154" s="4"/>
      <c r="D154" s="4"/>
      <c r="E154" s="4"/>
      <c r="F154" s="4"/>
      <c r="G154" s="4"/>
      <c r="H154" s="4"/>
      <c r="I154" s="4"/>
      <c r="L154" s="24"/>
      <c r="M154" s="24"/>
      <c r="N154" s="24"/>
    </row>
    <row r="155" spans="1:14" x14ac:dyDescent="0.2">
      <c r="A155" s="4" t="s">
        <v>146</v>
      </c>
      <c r="B155" s="4"/>
      <c r="C155" s="4"/>
      <c r="D155" s="4"/>
      <c r="E155" s="4"/>
      <c r="F155" s="4"/>
      <c r="G155" s="4"/>
      <c r="H155" s="4"/>
      <c r="I155" s="4"/>
      <c r="L155" s="24"/>
      <c r="M155" s="24"/>
      <c r="N155" s="24"/>
    </row>
    <row r="156" spans="1:14" x14ac:dyDescent="0.2">
      <c r="A156" s="4" t="s">
        <v>147</v>
      </c>
      <c r="B156" s="4"/>
      <c r="C156" s="4"/>
      <c r="D156" s="4"/>
      <c r="E156" s="4"/>
      <c r="F156" s="4"/>
      <c r="G156" s="4"/>
      <c r="H156" s="4"/>
      <c r="I156" s="4"/>
      <c r="L156" s="24"/>
      <c r="M156" s="24"/>
      <c r="N156" s="24"/>
    </row>
    <row r="157" spans="1:14" x14ac:dyDescent="0.2">
      <c r="A157" s="4" t="s">
        <v>148</v>
      </c>
      <c r="B157" s="4"/>
      <c r="C157" s="4"/>
      <c r="D157" s="4"/>
      <c r="E157" s="4"/>
      <c r="F157" s="4"/>
      <c r="G157" s="4"/>
      <c r="H157" s="4"/>
      <c r="I157" s="4"/>
      <c r="L157" s="24"/>
      <c r="M157" s="24"/>
      <c r="N157" s="24"/>
    </row>
    <row r="158" spans="1:14" x14ac:dyDescent="0.2">
      <c r="A158" s="4" t="s">
        <v>149</v>
      </c>
      <c r="B158" s="4"/>
      <c r="C158" s="4"/>
      <c r="D158" s="4"/>
      <c r="E158" s="4"/>
      <c r="F158" s="4"/>
      <c r="G158" s="4"/>
      <c r="H158" s="4"/>
      <c r="I158" s="4"/>
      <c r="L158" s="24"/>
      <c r="M158" s="24"/>
      <c r="N158" s="24"/>
    </row>
    <row r="159" spans="1:14" x14ac:dyDescent="0.2">
      <c r="A159" s="4"/>
      <c r="B159" s="4"/>
      <c r="C159" s="4"/>
      <c r="D159" s="4"/>
      <c r="E159" s="4"/>
      <c r="F159" s="4"/>
      <c r="G159" s="4"/>
      <c r="H159" s="4"/>
      <c r="I159" s="4"/>
      <c r="L159" s="24"/>
      <c r="M159" s="24"/>
      <c r="N159" s="24"/>
    </row>
    <row r="160" spans="1:14" ht="19" x14ac:dyDescent="0.25">
      <c r="A160" s="21" t="s">
        <v>6</v>
      </c>
      <c r="B160" s="4"/>
      <c r="C160" s="4"/>
      <c r="D160" s="4"/>
      <c r="E160" s="4"/>
      <c r="F160" s="4"/>
      <c r="G160" s="4"/>
      <c r="H160" s="4"/>
      <c r="I160" s="4"/>
      <c r="L160" s="24"/>
      <c r="M160" s="24"/>
      <c r="N160" s="24"/>
    </row>
    <row r="161" spans="1:14" x14ac:dyDescent="0.2">
      <c r="A161" s="4" t="s">
        <v>99</v>
      </c>
      <c r="B161" s="4"/>
      <c r="C161" s="4"/>
      <c r="D161" s="4"/>
      <c r="E161" s="4"/>
      <c r="F161" s="4"/>
      <c r="G161" s="4"/>
      <c r="H161" s="4"/>
      <c r="I161" s="4"/>
      <c r="L161" s="24"/>
      <c r="M161" s="24"/>
      <c r="N161" s="24"/>
    </row>
    <row r="162" spans="1:14" x14ac:dyDescent="0.2">
      <c r="A162" s="181" t="s">
        <v>444</v>
      </c>
      <c r="B162" s="4"/>
      <c r="C162" s="4"/>
      <c r="D162" s="4"/>
      <c r="E162" s="4"/>
      <c r="F162" s="4"/>
      <c r="G162" s="4"/>
      <c r="H162" s="4"/>
      <c r="I162" s="4"/>
      <c r="L162" s="24"/>
      <c r="M162" s="24"/>
      <c r="N162" s="24"/>
    </row>
    <row r="163" spans="1:14" x14ac:dyDescent="0.2">
      <c r="A163" s="4"/>
      <c r="B163" s="4"/>
      <c r="C163" s="4"/>
      <c r="D163" s="4"/>
      <c r="E163" s="4"/>
      <c r="F163" s="4"/>
      <c r="G163" s="4"/>
      <c r="H163" s="4"/>
      <c r="I163" s="4"/>
      <c r="L163" s="24"/>
      <c r="M163" s="24"/>
      <c r="N163" s="24"/>
    </row>
    <row r="164" spans="1:14" x14ac:dyDescent="0.2">
      <c r="A164" s="4"/>
      <c r="B164" s="4"/>
      <c r="C164" s="4"/>
      <c r="D164" s="4"/>
      <c r="E164" s="4"/>
      <c r="F164" s="4"/>
      <c r="G164" s="4"/>
      <c r="H164" s="4"/>
      <c r="I164" s="4"/>
      <c r="L164" s="4"/>
      <c r="M164" s="23"/>
      <c r="N164" s="4"/>
    </row>
    <row r="165" spans="1:14" x14ac:dyDescent="0.2">
      <c r="A165" s="4"/>
      <c r="B165" s="4"/>
      <c r="C165" s="4"/>
      <c r="D165" s="4"/>
      <c r="E165" s="4"/>
      <c r="F165" s="4"/>
      <c r="G165" s="4"/>
      <c r="H165" s="4"/>
      <c r="I165" s="4"/>
      <c r="L165" s="24"/>
      <c r="M165" s="24"/>
      <c r="N165" s="24"/>
    </row>
    <row r="166" spans="1:14" x14ac:dyDescent="0.2">
      <c r="A166" s="4"/>
      <c r="B166" s="4"/>
      <c r="C166" s="4"/>
      <c r="D166" s="4"/>
      <c r="E166" s="4"/>
      <c r="F166" s="4"/>
      <c r="G166" s="4"/>
      <c r="H166" s="4"/>
      <c r="I166" s="4"/>
      <c r="L166" s="24"/>
      <c r="M166" s="24"/>
      <c r="N166" s="24"/>
    </row>
    <row r="167" spans="1:14" x14ac:dyDescent="0.2">
      <c r="A167" s="4"/>
      <c r="B167" s="4"/>
      <c r="C167" s="4"/>
      <c r="D167" s="4"/>
      <c r="E167" s="4"/>
      <c r="F167" s="4"/>
      <c r="G167" s="4"/>
      <c r="H167" s="4"/>
      <c r="I167" s="4"/>
      <c r="L167" s="24"/>
      <c r="M167" s="24"/>
      <c r="N167" s="24"/>
    </row>
    <row r="168" spans="1:14" x14ac:dyDescent="0.2">
      <c r="A168" s="4"/>
      <c r="B168" s="4"/>
      <c r="C168" s="4"/>
      <c r="D168" s="4"/>
      <c r="E168" s="4"/>
      <c r="F168" s="4"/>
      <c r="G168" s="4"/>
      <c r="H168" s="4"/>
      <c r="I168" s="4"/>
      <c r="L168" s="24"/>
      <c r="M168" s="24"/>
      <c r="N168" s="24"/>
    </row>
    <row r="169" spans="1:14" x14ac:dyDescent="0.2">
      <c r="A169" s="4"/>
      <c r="B169" s="4"/>
      <c r="C169" s="4"/>
      <c r="D169" s="4"/>
      <c r="E169" s="4"/>
      <c r="F169" s="4"/>
      <c r="G169" s="4"/>
      <c r="H169" s="4"/>
      <c r="I169" s="4"/>
      <c r="L169" s="24"/>
      <c r="M169" s="24"/>
      <c r="N169" s="24"/>
    </row>
    <row r="170" spans="1:14" x14ac:dyDescent="0.2">
      <c r="A170" s="4"/>
      <c r="B170" s="4"/>
      <c r="C170" s="4"/>
      <c r="D170" s="4"/>
      <c r="E170" s="4"/>
      <c r="F170" s="4"/>
      <c r="G170" s="4"/>
      <c r="H170" s="4"/>
      <c r="I170" s="4"/>
      <c r="L170" s="24"/>
      <c r="M170" s="24"/>
      <c r="N170" s="24"/>
    </row>
    <row r="171" spans="1:14" x14ac:dyDescent="0.2">
      <c r="A171" s="4"/>
      <c r="B171" s="4"/>
      <c r="C171" s="4"/>
      <c r="D171" s="4"/>
      <c r="E171" s="4"/>
      <c r="F171" s="4"/>
      <c r="G171" s="4"/>
      <c r="H171" s="4"/>
      <c r="I171" s="4"/>
      <c r="L171" s="24"/>
      <c r="M171" s="24"/>
      <c r="N171" s="24"/>
    </row>
    <row r="172" spans="1:14" x14ac:dyDescent="0.2">
      <c r="A172" s="4"/>
      <c r="B172" s="4"/>
      <c r="C172" s="4"/>
      <c r="D172" s="4"/>
      <c r="E172" s="4"/>
      <c r="F172" s="4"/>
      <c r="G172" s="4"/>
      <c r="H172" s="4"/>
      <c r="I172" s="4"/>
      <c r="L172" s="24"/>
      <c r="M172" s="24"/>
      <c r="N172" s="24"/>
    </row>
    <row r="173" spans="1:14" x14ac:dyDescent="0.2">
      <c r="A173" s="4"/>
      <c r="B173" s="4"/>
      <c r="C173" s="4"/>
      <c r="D173" s="4"/>
      <c r="E173" s="4"/>
      <c r="F173" s="4"/>
      <c r="G173" s="4"/>
      <c r="H173" s="4"/>
      <c r="I173" s="4"/>
      <c r="L173" s="24"/>
      <c r="M173" s="24"/>
      <c r="N173" s="24"/>
    </row>
    <row r="174" spans="1:14" x14ac:dyDescent="0.2">
      <c r="A174" s="4"/>
      <c r="B174" s="4"/>
      <c r="C174" s="4"/>
      <c r="D174" s="4"/>
      <c r="E174" s="4"/>
      <c r="F174" s="4"/>
      <c r="G174" s="4"/>
      <c r="H174" s="4"/>
      <c r="I174" s="4"/>
      <c r="L174" s="4"/>
      <c r="M174" s="23"/>
      <c r="N174" s="4"/>
    </row>
    <row r="175" spans="1:14" x14ac:dyDescent="0.2">
      <c r="A175" s="4"/>
      <c r="B175" s="4"/>
      <c r="C175" s="4"/>
      <c r="D175" s="4"/>
      <c r="E175" s="4"/>
      <c r="F175" s="4"/>
      <c r="G175" s="4"/>
      <c r="H175" s="4"/>
      <c r="I175" s="4"/>
      <c r="L175" s="24"/>
      <c r="M175" s="24"/>
      <c r="N175" s="24"/>
    </row>
    <row r="176" spans="1:14" x14ac:dyDescent="0.2">
      <c r="A176" s="4"/>
      <c r="B176" s="4"/>
      <c r="C176" s="4"/>
      <c r="D176" s="4"/>
      <c r="E176" s="4"/>
      <c r="F176" s="4"/>
      <c r="G176" s="4"/>
      <c r="H176" s="4"/>
      <c r="I176" s="4"/>
      <c r="L176" s="24"/>
      <c r="M176" s="24"/>
      <c r="N176" s="24"/>
    </row>
    <row r="177" spans="1:65" x14ac:dyDescent="0.2">
      <c r="A177" s="4"/>
      <c r="B177" s="4"/>
      <c r="C177" s="4"/>
      <c r="D177" s="4"/>
      <c r="E177" s="4"/>
      <c r="F177" s="4"/>
      <c r="G177" s="4"/>
      <c r="H177" s="4"/>
      <c r="I177" s="4"/>
      <c r="L177" s="24"/>
      <c r="M177" s="24"/>
      <c r="N177" s="24"/>
    </row>
    <row r="178" spans="1:65" x14ac:dyDescent="0.2">
      <c r="A178" s="4"/>
      <c r="B178" s="4"/>
      <c r="C178" s="4"/>
      <c r="D178" s="4"/>
      <c r="E178" s="4"/>
      <c r="F178" s="4"/>
      <c r="G178" s="4"/>
      <c r="H178" s="4"/>
      <c r="I178" s="4"/>
      <c r="L178" s="24"/>
      <c r="M178" s="24"/>
      <c r="N178" s="24"/>
    </row>
    <row r="179" spans="1:65" x14ac:dyDescent="0.2">
      <c r="A179" s="4"/>
      <c r="B179" s="4"/>
      <c r="C179" s="4"/>
      <c r="D179" s="4"/>
      <c r="E179" s="4"/>
      <c r="F179" s="4"/>
      <c r="G179" s="4"/>
      <c r="H179" s="4"/>
      <c r="I179" s="4"/>
      <c r="L179" s="24"/>
      <c r="M179" s="24"/>
      <c r="N179" s="24"/>
    </row>
    <row r="180" spans="1:65" x14ac:dyDescent="0.2">
      <c r="A180" s="4"/>
      <c r="B180" s="4"/>
      <c r="C180" s="4"/>
      <c r="D180" s="4"/>
      <c r="E180" s="4"/>
      <c r="F180" s="4"/>
      <c r="G180" s="4"/>
      <c r="H180" s="4"/>
      <c r="I180" s="4"/>
      <c r="L180" s="24"/>
      <c r="M180" s="24"/>
      <c r="N180" s="24"/>
    </row>
    <row r="181" spans="1:65" x14ac:dyDescent="0.2">
      <c r="A181" s="4"/>
      <c r="B181" s="4"/>
      <c r="C181" s="4"/>
      <c r="D181" s="4"/>
      <c r="E181" s="4"/>
      <c r="F181" s="4"/>
      <c r="G181" s="4"/>
      <c r="H181" s="4"/>
      <c r="I181" s="4"/>
      <c r="L181" s="24"/>
      <c r="M181" s="24"/>
      <c r="N181" s="24"/>
    </row>
    <row r="182" spans="1:65" x14ac:dyDescent="0.2">
      <c r="A182" s="4"/>
      <c r="B182" s="4"/>
      <c r="C182" s="4"/>
      <c r="D182" s="4"/>
      <c r="E182" s="4"/>
      <c r="F182" s="4"/>
      <c r="G182" s="4"/>
      <c r="H182" s="4"/>
      <c r="I182" s="4"/>
      <c r="L182" s="24"/>
      <c r="M182" s="24"/>
      <c r="N182" s="24"/>
    </row>
    <row r="183" spans="1:65" x14ac:dyDescent="0.2">
      <c r="A183" s="4"/>
      <c r="B183" s="4"/>
      <c r="C183" s="4"/>
      <c r="D183" s="4"/>
      <c r="E183" s="4"/>
      <c r="F183" s="4"/>
      <c r="G183" s="4"/>
      <c r="H183" s="4"/>
      <c r="I183" s="4"/>
      <c r="L183" s="24"/>
      <c r="M183" s="24"/>
      <c r="N183" s="24"/>
    </row>
    <row r="184" spans="1:65" x14ac:dyDescent="0.2">
      <c r="A184" s="4"/>
      <c r="B184" s="4"/>
      <c r="C184" s="4"/>
      <c r="D184" s="4"/>
      <c r="E184" s="4"/>
      <c r="F184" s="4"/>
      <c r="G184" s="4"/>
      <c r="H184" s="4"/>
      <c r="I184" s="4"/>
      <c r="L184" s="4"/>
      <c r="M184" s="23"/>
      <c r="N184" s="4"/>
    </row>
    <row r="185" spans="1:65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</row>
    <row r="186" spans="1:65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</row>
    <row r="187" spans="1:65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</row>
    <row r="188" spans="1:65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</row>
    <row r="189" spans="1:65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</row>
    <row r="190" spans="1:65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</row>
    <row r="191" spans="1:65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</row>
    <row r="192" spans="1:65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</row>
    <row r="193" spans="1:65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</row>
    <row r="194" spans="1:65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</row>
    <row r="195" spans="1:65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</row>
    <row r="196" spans="1:65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</row>
    <row r="197" spans="1:65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</row>
    <row r="198" spans="1:65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</row>
    <row r="199" spans="1:65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</row>
    <row r="200" spans="1:65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</row>
    <row r="201" spans="1:65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</row>
    <row r="202" spans="1:65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</row>
    <row r="203" spans="1:65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</row>
    <row r="204" spans="1:65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</row>
    <row r="205" spans="1:65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</row>
    <row r="206" spans="1:65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</row>
    <row r="207" spans="1:65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</row>
    <row r="208" spans="1:65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</row>
    <row r="209" spans="1:65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</row>
    <row r="210" spans="1:65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</row>
    <row r="211" spans="1:65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</row>
    <row r="212" spans="1:65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</row>
    <row r="213" spans="1:65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</row>
    <row r="214" spans="1:65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</row>
    <row r="215" spans="1:65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</row>
    <row r="216" spans="1:65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</row>
    <row r="217" spans="1:65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</row>
    <row r="218" spans="1:65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</row>
    <row r="219" spans="1:65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</row>
    <row r="220" spans="1:65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</row>
    <row r="221" spans="1:65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</row>
    <row r="222" spans="1:65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</row>
    <row r="223" spans="1:65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</row>
    <row r="224" spans="1:65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</row>
    <row r="225" spans="1:65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</row>
    <row r="226" spans="1:65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</row>
    <row r="227" spans="1:65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</row>
    <row r="228" spans="1:65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</row>
    <row r="229" spans="1:65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</row>
    <row r="230" spans="1:65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</row>
    <row r="231" spans="1:65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</row>
    <row r="232" spans="1:65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</row>
    <row r="233" spans="1:65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</row>
    <row r="234" spans="1:65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</row>
    <row r="235" spans="1:65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</row>
    <row r="236" spans="1:65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</row>
    <row r="237" spans="1:65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</row>
    <row r="238" spans="1:65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</row>
    <row r="239" spans="1:65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</row>
    <row r="240" spans="1:65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</row>
    <row r="241" spans="1:65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</row>
    <row r="242" spans="1:65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</row>
    <row r="243" spans="1:65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</row>
    <row r="244" spans="1:65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</row>
    <row r="245" spans="1:65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</row>
    <row r="246" spans="1:65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</row>
    <row r="247" spans="1:65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</row>
    <row r="248" spans="1:65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</row>
    <row r="249" spans="1:65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</row>
    <row r="250" spans="1:65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</row>
    <row r="251" spans="1:65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</row>
    <row r="252" spans="1:65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</row>
    <row r="253" spans="1:65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</row>
    <row r="254" spans="1:65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</row>
    <row r="255" spans="1:65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</row>
    <row r="256" spans="1:65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</row>
    <row r="257" spans="1:65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</row>
    <row r="258" spans="1:65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</row>
    <row r="259" spans="1:65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</row>
    <row r="260" spans="1:65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</row>
    <row r="261" spans="1:65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</row>
    <row r="262" spans="1:65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</row>
    <row r="263" spans="1:65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</row>
    <row r="264" spans="1:65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</row>
    <row r="265" spans="1:65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</row>
    <row r="266" spans="1:65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</row>
    <row r="267" spans="1:65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</row>
    <row r="268" spans="1:65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</row>
    <row r="269" spans="1:65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</row>
    <row r="270" spans="1:65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</row>
    <row r="271" spans="1:65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</row>
    <row r="272" spans="1:65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</row>
    <row r="273" spans="1:65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</row>
    <row r="274" spans="1:65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</row>
    <row r="275" spans="1:65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</row>
    <row r="276" spans="1:65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</row>
    <row r="277" spans="1:65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</row>
    <row r="278" spans="1:65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</row>
    <row r="279" spans="1:65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</row>
    <row r="280" spans="1:65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</row>
    <row r="281" spans="1:65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</row>
    <row r="282" spans="1:65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</row>
    <row r="283" spans="1:65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</row>
    <row r="284" spans="1:65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</row>
    <row r="285" spans="1:65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</row>
    <row r="286" spans="1:65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</row>
  </sheetData>
  <mergeCells count="22">
    <mergeCell ref="B130:C130"/>
    <mergeCell ref="D130:E130"/>
    <mergeCell ref="B126:C126"/>
    <mergeCell ref="D126:E126"/>
    <mergeCell ref="B127:C127"/>
    <mergeCell ref="D127:E127"/>
    <mergeCell ref="B128:C128"/>
    <mergeCell ref="D128:E128"/>
    <mergeCell ref="F130:G130"/>
    <mergeCell ref="H31:H32"/>
    <mergeCell ref="I98:I99"/>
    <mergeCell ref="J98:J99"/>
    <mergeCell ref="D31:D32"/>
    <mergeCell ref="D98:D99"/>
    <mergeCell ref="E98:E99"/>
    <mergeCell ref="D129:E129"/>
    <mergeCell ref="B19:I26"/>
    <mergeCell ref="F126:G126"/>
    <mergeCell ref="F127:G127"/>
    <mergeCell ref="F128:G128"/>
    <mergeCell ref="F129:G129"/>
    <mergeCell ref="B129:C12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5C165-E888-A746-BD46-A9AD5A3D37CD}">
  <dimension ref="A1:BJ194"/>
  <sheetViews>
    <sheetView showGridLines="0" zoomScale="120" zoomScaleNormal="120" workbookViewId="0"/>
  </sheetViews>
  <sheetFormatPr baseColWidth="10" defaultRowHeight="16" x14ac:dyDescent="0.2"/>
  <cols>
    <col min="1" max="2" width="10.83203125" style="18"/>
    <col min="3" max="3" width="11.6640625" style="18" customWidth="1"/>
    <col min="4" max="16384" width="10.83203125" style="18"/>
  </cols>
  <sheetData>
    <row r="1" spans="1:10" ht="19" x14ac:dyDescent="0.25">
      <c r="A1" s="16" t="s">
        <v>173</v>
      </c>
      <c r="B1" s="17"/>
      <c r="C1" s="17"/>
      <c r="D1" s="17"/>
      <c r="E1" s="17"/>
      <c r="F1" s="17"/>
      <c r="G1" s="17"/>
      <c r="H1" s="17"/>
      <c r="I1" s="17"/>
      <c r="J1" s="1"/>
    </row>
    <row r="2" spans="1:10" x14ac:dyDescent="0.2">
      <c r="A2" s="19"/>
      <c r="B2" s="17"/>
      <c r="C2" s="17"/>
      <c r="D2" s="17"/>
      <c r="E2" s="17"/>
      <c r="F2" s="17"/>
      <c r="G2" s="17"/>
      <c r="H2" s="17"/>
      <c r="I2" s="17"/>
      <c r="J2" s="1"/>
    </row>
    <row r="3" spans="1:10" ht="19" x14ac:dyDescent="0.25">
      <c r="A3" s="19"/>
      <c r="B3" s="136" t="s">
        <v>8</v>
      </c>
      <c r="C3" s="17"/>
      <c r="D3" s="17"/>
      <c r="E3" s="17"/>
      <c r="F3" s="17"/>
      <c r="G3" s="17"/>
      <c r="H3" s="17"/>
      <c r="I3" s="17"/>
      <c r="J3" s="1"/>
    </row>
    <row r="4" spans="1:10" x14ac:dyDescent="0.2">
      <c r="A4" s="19"/>
      <c r="B4" s="17" t="s">
        <v>177</v>
      </c>
      <c r="C4" s="17"/>
      <c r="D4" s="17"/>
      <c r="E4" s="17"/>
      <c r="F4" s="17"/>
      <c r="G4" s="17"/>
      <c r="H4" s="17"/>
      <c r="I4" s="17"/>
      <c r="J4" s="1"/>
    </row>
    <row r="5" spans="1:10" x14ac:dyDescent="0.2">
      <c r="A5" s="19"/>
      <c r="B5" s="17"/>
      <c r="C5" s="17"/>
      <c r="D5" s="17"/>
      <c r="E5" s="17"/>
      <c r="F5" s="17"/>
      <c r="G5" s="17"/>
      <c r="H5" s="17"/>
      <c r="I5" s="17"/>
      <c r="J5" s="1"/>
    </row>
    <row r="6" spans="1:10" ht="34" x14ac:dyDescent="0.2">
      <c r="A6" s="19"/>
      <c r="B6" s="17"/>
      <c r="C6" s="3" t="s">
        <v>51</v>
      </c>
      <c r="D6" s="130" t="s">
        <v>169</v>
      </c>
      <c r="E6" s="130" t="s">
        <v>11</v>
      </c>
      <c r="F6" s="137" t="s">
        <v>170</v>
      </c>
      <c r="G6" s="17"/>
      <c r="H6" s="17"/>
      <c r="I6" s="17"/>
      <c r="J6" s="1"/>
    </row>
    <row r="7" spans="1:10" x14ac:dyDescent="0.2">
      <c r="A7" s="19"/>
      <c r="B7" s="17"/>
      <c r="C7" s="2">
        <v>1</v>
      </c>
      <c r="D7" s="2">
        <v>650</v>
      </c>
      <c r="E7" s="2">
        <v>293</v>
      </c>
      <c r="F7" s="60">
        <v>0.67</v>
      </c>
      <c r="G7" s="17"/>
      <c r="H7" s="17"/>
      <c r="I7" s="17"/>
      <c r="J7" s="1"/>
    </row>
    <row r="8" spans="1:10" x14ac:dyDescent="0.2">
      <c r="A8" s="19"/>
      <c r="B8" s="17"/>
      <c r="C8" s="2">
        <v>2</v>
      </c>
      <c r="D8" s="10">
        <v>1625</v>
      </c>
      <c r="E8" s="10">
        <v>1170</v>
      </c>
      <c r="F8" s="60">
        <v>1.2</v>
      </c>
      <c r="G8" s="17"/>
      <c r="H8" s="17"/>
      <c r="I8" s="17"/>
      <c r="J8" s="1"/>
    </row>
    <row r="9" spans="1:10" x14ac:dyDescent="0.2">
      <c r="A9" s="19"/>
      <c r="B9" s="17"/>
      <c r="C9" s="2">
        <v>3</v>
      </c>
      <c r="D9" s="10">
        <v>525</v>
      </c>
      <c r="E9" s="10">
        <v>305</v>
      </c>
      <c r="F9" s="60">
        <v>0.9</v>
      </c>
      <c r="G9" s="17"/>
      <c r="H9" s="17"/>
      <c r="I9" s="17"/>
      <c r="J9" s="1"/>
    </row>
    <row r="10" spans="1:10" x14ac:dyDescent="0.2">
      <c r="A10" s="19"/>
      <c r="B10" s="17"/>
      <c r="C10" s="2">
        <v>4</v>
      </c>
      <c r="D10" s="10">
        <v>2425</v>
      </c>
      <c r="E10" s="10">
        <v>1407</v>
      </c>
      <c r="F10" s="60">
        <v>0.83</v>
      </c>
      <c r="G10" s="17"/>
      <c r="H10" s="17"/>
      <c r="I10" s="17"/>
      <c r="J10" s="1"/>
    </row>
    <row r="11" spans="1:10" x14ac:dyDescent="0.2">
      <c r="A11" s="19"/>
      <c r="B11" s="17"/>
      <c r="C11" s="2">
        <v>5</v>
      </c>
      <c r="D11" s="10">
        <v>2000</v>
      </c>
      <c r="E11" s="10">
        <v>1680</v>
      </c>
      <c r="F11" s="60">
        <v>1.34</v>
      </c>
      <c r="G11" s="17"/>
      <c r="H11" s="17"/>
      <c r="I11" s="17"/>
      <c r="J11" s="1"/>
    </row>
    <row r="12" spans="1:10" x14ac:dyDescent="0.2">
      <c r="A12" s="19"/>
      <c r="B12" s="17"/>
      <c r="C12" s="2">
        <v>6</v>
      </c>
      <c r="D12" s="10">
        <v>725</v>
      </c>
      <c r="E12" s="10">
        <v>638</v>
      </c>
      <c r="F12" s="60">
        <v>1.4</v>
      </c>
      <c r="G12" s="17"/>
      <c r="H12" s="17"/>
      <c r="I12" s="17"/>
      <c r="J12" s="1"/>
    </row>
    <row r="13" spans="1:10" x14ac:dyDescent="0.2">
      <c r="A13" s="19"/>
      <c r="B13" s="17"/>
      <c r="C13" s="2">
        <v>7</v>
      </c>
      <c r="D13" s="10">
        <v>1325</v>
      </c>
      <c r="E13" s="10">
        <v>782</v>
      </c>
      <c r="F13" s="60">
        <v>0.91</v>
      </c>
      <c r="G13" s="17"/>
      <c r="H13" s="17"/>
      <c r="I13" s="17"/>
      <c r="J13" s="1"/>
    </row>
    <row r="14" spans="1:10" x14ac:dyDescent="0.2">
      <c r="A14" s="19"/>
      <c r="B14" s="17"/>
      <c r="C14" s="2">
        <v>8</v>
      </c>
      <c r="D14" s="10">
        <v>550</v>
      </c>
      <c r="E14" s="10">
        <v>440</v>
      </c>
      <c r="F14" s="60">
        <v>1.26</v>
      </c>
      <c r="G14" s="17"/>
      <c r="H14" s="17"/>
      <c r="I14" s="17"/>
      <c r="J14" s="1"/>
    </row>
    <row r="15" spans="1:10" x14ac:dyDescent="0.2">
      <c r="A15" s="19"/>
      <c r="B15" s="17"/>
      <c r="C15" s="2">
        <v>9</v>
      </c>
      <c r="D15" s="10">
        <v>575</v>
      </c>
      <c r="E15" s="10">
        <v>380</v>
      </c>
      <c r="F15" s="60">
        <v>1</v>
      </c>
      <c r="G15" s="17"/>
      <c r="H15" s="17"/>
      <c r="I15" s="17"/>
      <c r="J15" s="1"/>
    </row>
    <row r="16" spans="1:10" x14ac:dyDescent="0.2">
      <c r="A16" s="19"/>
      <c r="B16" s="17"/>
      <c r="C16" s="2">
        <v>10</v>
      </c>
      <c r="D16" s="10">
        <v>1225</v>
      </c>
      <c r="E16" s="10">
        <v>711</v>
      </c>
      <c r="F16" s="60">
        <v>0.86</v>
      </c>
      <c r="G16" s="17"/>
      <c r="H16" s="17"/>
      <c r="I16" s="17"/>
      <c r="J16" s="1"/>
    </row>
    <row r="17" spans="1:10" x14ac:dyDescent="0.2">
      <c r="A17" s="19"/>
      <c r="B17" s="17"/>
      <c r="C17" s="2">
        <v>11</v>
      </c>
      <c r="D17" s="10">
        <v>825</v>
      </c>
      <c r="E17" s="10">
        <v>586</v>
      </c>
      <c r="F17" s="60">
        <v>1.18</v>
      </c>
      <c r="G17" s="17"/>
      <c r="H17" s="17"/>
      <c r="I17" s="17"/>
      <c r="J17" s="1"/>
    </row>
    <row r="18" spans="1:10" x14ac:dyDescent="0.2">
      <c r="A18" s="19"/>
      <c r="B18" s="17"/>
      <c r="C18" s="2">
        <v>12</v>
      </c>
      <c r="D18" s="10">
        <v>2200</v>
      </c>
      <c r="E18" s="10">
        <v>990</v>
      </c>
      <c r="F18" s="60">
        <v>0.64</v>
      </c>
      <c r="G18" s="17"/>
      <c r="H18" s="17"/>
      <c r="I18" s="17"/>
      <c r="J18" s="1"/>
    </row>
    <row r="19" spans="1:10" x14ac:dyDescent="0.2">
      <c r="A19" s="19"/>
      <c r="B19" s="17"/>
      <c r="C19" s="2">
        <v>13</v>
      </c>
      <c r="D19" s="10">
        <v>875</v>
      </c>
      <c r="E19" s="10">
        <v>429</v>
      </c>
      <c r="F19" s="60">
        <v>0.75</v>
      </c>
      <c r="G19" s="17"/>
      <c r="H19" s="17"/>
      <c r="I19" s="17"/>
      <c r="J19" s="1"/>
    </row>
    <row r="20" spans="1:10" x14ac:dyDescent="0.2">
      <c r="A20" s="19"/>
      <c r="B20" s="17"/>
      <c r="C20" s="2">
        <v>14</v>
      </c>
      <c r="D20" s="10">
        <v>1725</v>
      </c>
      <c r="E20" s="10">
        <v>1225</v>
      </c>
      <c r="F20" s="60">
        <v>1.1399999999999999</v>
      </c>
      <c r="G20" s="17"/>
      <c r="H20" s="17"/>
      <c r="I20" s="17"/>
      <c r="J20" s="1"/>
    </row>
    <row r="21" spans="1:10" x14ac:dyDescent="0.2">
      <c r="A21" s="19"/>
      <c r="B21" s="17"/>
      <c r="C21" s="2">
        <v>15</v>
      </c>
      <c r="D21" s="10">
        <v>2300</v>
      </c>
      <c r="E21" s="10">
        <v>1610</v>
      </c>
      <c r="F21" s="60">
        <v>1.1100000000000001</v>
      </c>
      <c r="G21" s="17"/>
      <c r="H21" s="17"/>
      <c r="I21" s="17"/>
      <c r="J21" s="1"/>
    </row>
    <row r="22" spans="1:10" x14ac:dyDescent="0.2">
      <c r="A22" s="19"/>
      <c r="B22" s="17"/>
      <c r="C22" s="2">
        <v>16</v>
      </c>
      <c r="D22" s="10">
        <v>2075</v>
      </c>
      <c r="E22" s="10">
        <v>893</v>
      </c>
      <c r="F22" s="60">
        <v>0.6</v>
      </c>
      <c r="G22" s="17"/>
      <c r="H22" s="17"/>
      <c r="I22" s="17"/>
      <c r="J22" s="1"/>
    </row>
    <row r="23" spans="1:10" x14ac:dyDescent="0.2">
      <c r="A23" s="19"/>
      <c r="B23" s="17"/>
      <c r="C23" s="2">
        <v>17</v>
      </c>
      <c r="D23" s="10">
        <v>775</v>
      </c>
      <c r="E23" s="10">
        <v>380</v>
      </c>
      <c r="F23" s="60">
        <v>0.77</v>
      </c>
      <c r="G23" s="17"/>
      <c r="H23" s="17"/>
      <c r="I23" s="17"/>
      <c r="J23" s="1"/>
    </row>
    <row r="24" spans="1:10" x14ac:dyDescent="0.2">
      <c r="A24" s="19"/>
      <c r="B24" s="17"/>
      <c r="C24" s="2">
        <v>18</v>
      </c>
      <c r="D24" s="10">
        <v>550</v>
      </c>
      <c r="E24" s="10">
        <v>341</v>
      </c>
      <c r="F24" s="60">
        <v>0.98</v>
      </c>
      <c r="G24" s="17"/>
      <c r="H24" s="17"/>
      <c r="I24" s="17"/>
      <c r="J24" s="1"/>
    </row>
    <row r="25" spans="1:10" x14ac:dyDescent="0.2">
      <c r="A25" s="19"/>
      <c r="B25" s="17"/>
      <c r="C25" s="2">
        <v>19</v>
      </c>
      <c r="D25" s="10">
        <v>2425</v>
      </c>
      <c r="E25" s="10">
        <v>1286</v>
      </c>
      <c r="F25" s="60">
        <v>0.79</v>
      </c>
      <c r="G25" s="17"/>
      <c r="H25" s="17"/>
      <c r="I25" s="17"/>
      <c r="J25" s="1"/>
    </row>
    <row r="26" spans="1:10" x14ac:dyDescent="0.2">
      <c r="A26" s="19"/>
      <c r="B26" s="17"/>
      <c r="C26" s="2">
        <v>20</v>
      </c>
      <c r="D26" s="10">
        <v>1725</v>
      </c>
      <c r="E26" s="10">
        <v>1053</v>
      </c>
      <c r="F26" s="60">
        <v>0.95</v>
      </c>
      <c r="G26" s="17"/>
      <c r="H26" s="17"/>
      <c r="I26" s="17"/>
      <c r="J26" s="1"/>
    </row>
    <row r="27" spans="1:10" x14ac:dyDescent="0.2">
      <c r="A27" s="19"/>
      <c r="B27" s="17"/>
      <c r="C27" s="17"/>
      <c r="D27" s="17"/>
      <c r="E27" s="17"/>
      <c r="F27" s="17"/>
      <c r="G27" s="17"/>
      <c r="H27" s="17"/>
      <c r="I27" s="17"/>
      <c r="J27" s="1"/>
    </row>
    <row r="28" spans="1:10" x14ac:dyDescent="0.2">
      <c r="A28" s="19"/>
      <c r="B28" s="17" t="s">
        <v>0</v>
      </c>
      <c r="C28" s="17"/>
      <c r="D28" s="17"/>
      <c r="E28" s="17"/>
      <c r="F28" s="17"/>
      <c r="G28" s="17"/>
      <c r="H28" s="17"/>
      <c r="I28" s="17"/>
      <c r="J28" s="1"/>
    </row>
    <row r="29" spans="1:10" x14ac:dyDescent="0.2">
      <c r="A29" s="19"/>
      <c r="B29" s="17" t="s">
        <v>171</v>
      </c>
      <c r="C29" s="17"/>
      <c r="D29" s="17"/>
      <c r="E29" s="17"/>
      <c r="F29" s="17"/>
      <c r="G29" s="17"/>
      <c r="H29" s="17"/>
      <c r="I29" s="17"/>
      <c r="J29" s="1"/>
    </row>
    <row r="30" spans="1:10" x14ac:dyDescent="0.2">
      <c r="A30" s="19"/>
      <c r="B30" s="17"/>
      <c r="C30" s="17"/>
      <c r="D30" s="17"/>
      <c r="E30" s="17"/>
      <c r="F30" s="17"/>
      <c r="G30" s="17"/>
      <c r="H30" s="17"/>
      <c r="I30" s="17"/>
      <c r="J30" s="1"/>
    </row>
    <row r="31" spans="1:10" x14ac:dyDescent="0.2">
      <c r="A31" s="19"/>
      <c r="B31" s="17" t="s">
        <v>1</v>
      </c>
      <c r="C31" s="17"/>
      <c r="D31" s="17"/>
      <c r="E31" s="17"/>
      <c r="F31" s="17"/>
      <c r="G31" s="17"/>
      <c r="H31" s="17"/>
      <c r="I31" s="17"/>
      <c r="J31" s="1"/>
    </row>
    <row r="32" spans="1:10" x14ac:dyDescent="0.2">
      <c r="A32" s="19"/>
      <c r="B32" s="17" t="s">
        <v>172</v>
      </c>
      <c r="C32" s="17"/>
      <c r="D32" s="17"/>
      <c r="E32" s="17"/>
      <c r="F32" s="17"/>
      <c r="G32" s="17"/>
      <c r="H32" s="17"/>
      <c r="I32" s="17"/>
      <c r="J32" s="1"/>
    </row>
    <row r="33" spans="1:10" ht="17" thickBot="1" x14ac:dyDescent="0.25">
      <c r="A33" s="20"/>
      <c r="B33" s="6"/>
      <c r="C33" s="64"/>
      <c r="D33" s="64"/>
      <c r="E33" s="64"/>
      <c r="F33" s="6"/>
      <c r="G33" s="6"/>
      <c r="H33" s="6"/>
      <c r="I33" s="6"/>
      <c r="J33" s="7"/>
    </row>
    <row r="34" spans="1:10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10" ht="19" x14ac:dyDescent="0.25">
      <c r="A35" s="21" t="s">
        <v>3</v>
      </c>
      <c r="B35" s="4"/>
      <c r="C35" s="4"/>
      <c r="D35" s="4"/>
      <c r="E35" s="4"/>
      <c r="F35" s="4"/>
      <c r="G35" s="4"/>
      <c r="H35" s="4"/>
      <c r="I35" s="4"/>
    </row>
    <row r="36" spans="1:10" x14ac:dyDescent="0.2">
      <c r="A36" s="22"/>
      <c r="B36" s="4" t="s">
        <v>0</v>
      </c>
      <c r="C36" s="23"/>
      <c r="D36" s="4"/>
      <c r="E36" s="4"/>
      <c r="F36" s="4"/>
      <c r="G36" s="4"/>
      <c r="H36" s="4"/>
      <c r="I36" s="4"/>
    </row>
    <row r="37" spans="1:10" x14ac:dyDescent="0.2">
      <c r="A37" s="4"/>
      <c r="B37" s="4" t="s">
        <v>57</v>
      </c>
      <c r="C37" s="4"/>
      <c r="D37" s="4"/>
      <c r="E37" s="4"/>
      <c r="F37" s="4"/>
      <c r="G37" s="4"/>
      <c r="H37" s="4"/>
      <c r="I37" s="4"/>
    </row>
    <row r="38" spans="1:10" x14ac:dyDescent="0.2">
      <c r="A38" s="4"/>
      <c r="B38" s="4"/>
      <c r="C38" s="4"/>
      <c r="D38" s="4"/>
      <c r="E38" s="4"/>
      <c r="F38" s="4"/>
      <c r="G38" s="4"/>
      <c r="H38" s="4"/>
      <c r="I38" s="4"/>
    </row>
    <row r="39" spans="1:10" x14ac:dyDescent="0.2">
      <c r="A39" s="4"/>
      <c r="B39" s="4" t="s">
        <v>58</v>
      </c>
      <c r="C39" s="4"/>
      <c r="D39" s="4"/>
      <c r="E39" s="4"/>
      <c r="F39" s="4"/>
      <c r="G39" s="4"/>
      <c r="H39" s="4"/>
      <c r="I39" s="4"/>
    </row>
    <row r="40" spans="1:10" x14ac:dyDescent="0.2">
      <c r="A40" s="4"/>
      <c r="B40" s="4"/>
      <c r="C40" s="4"/>
      <c r="D40" s="4"/>
      <c r="E40" s="4"/>
      <c r="F40" s="4"/>
      <c r="G40" s="4"/>
      <c r="H40" s="4"/>
    </row>
    <row r="41" spans="1:10" ht="51" x14ac:dyDescent="0.2">
      <c r="A41" s="4"/>
      <c r="B41" s="4"/>
      <c r="C41" s="165" t="s">
        <v>51</v>
      </c>
      <c r="D41" s="162" t="s">
        <v>52</v>
      </c>
      <c r="E41" s="162" t="s">
        <v>53</v>
      </c>
      <c r="F41" s="150" t="s">
        <v>13</v>
      </c>
      <c r="G41" s="147" t="s">
        <v>59</v>
      </c>
      <c r="H41" s="4"/>
      <c r="I41" s="4"/>
      <c r="J41" s="4"/>
    </row>
    <row r="42" spans="1:10" x14ac:dyDescent="0.2">
      <c r="A42" s="4"/>
      <c r="B42" s="4"/>
      <c r="C42" s="166">
        <v>1</v>
      </c>
      <c r="D42" s="164">
        <f t="shared" ref="D42:D61" si="0">E7/D7</f>
        <v>0.45076923076923076</v>
      </c>
      <c r="E42" s="163">
        <f t="shared" ref="E42:E61" si="1">F7</f>
        <v>0.67</v>
      </c>
      <c r="F42" s="43">
        <f>ROUNDUP(RANK(E42,E$42:E$61,1)/4,0)</f>
        <v>1</v>
      </c>
      <c r="G42" s="45">
        <f>D42/E42</f>
        <v>0.6727898966704936</v>
      </c>
      <c r="H42" s="4"/>
      <c r="I42" s="4"/>
      <c r="J42" s="4"/>
    </row>
    <row r="43" spans="1:10" x14ac:dyDescent="0.2">
      <c r="A43" s="4"/>
      <c r="B43" s="4"/>
      <c r="C43" s="166">
        <v>2</v>
      </c>
      <c r="D43" s="164">
        <f t="shared" si="0"/>
        <v>0.72</v>
      </c>
      <c r="E43" s="163">
        <f t="shared" si="1"/>
        <v>1.2</v>
      </c>
      <c r="F43" s="43">
        <f>ROUNDUP(RANK(E43,E$42:E$61,1)/4,0)</f>
        <v>5</v>
      </c>
      <c r="G43" s="45">
        <f>D43/E43</f>
        <v>0.6</v>
      </c>
      <c r="H43" s="4"/>
      <c r="I43" s="4"/>
      <c r="J43" s="4"/>
    </row>
    <row r="44" spans="1:10" x14ac:dyDescent="0.2">
      <c r="A44" s="4"/>
      <c r="B44" s="4"/>
      <c r="C44" s="166">
        <v>3</v>
      </c>
      <c r="D44" s="164">
        <f t="shared" si="0"/>
        <v>0.580952380952381</v>
      </c>
      <c r="E44" s="163">
        <f t="shared" si="1"/>
        <v>0.9</v>
      </c>
      <c r="F44" s="43">
        <f t="shared" ref="F44:F61" si="2">ROUNDUP(RANK(E44,E$42:E$61,1)/4,0)</f>
        <v>3</v>
      </c>
      <c r="G44" s="45">
        <f t="shared" ref="G44:G53" si="3">D44/E44</f>
        <v>0.64550264550264558</v>
      </c>
      <c r="H44" s="4"/>
      <c r="I44" s="4"/>
      <c r="J44" s="4"/>
    </row>
    <row r="45" spans="1:10" x14ac:dyDescent="0.2">
      <c r="A45" s="4"/>
      <c r="B45" s="4"/>
      <c r="C45" s="166">
        <v>4</v>
      </c>
      <c r="D45" s="164">
        <f t="shared" si="0"/>
        <v>0.58020618556701031</v>
      </c>
      <c r="E45" s="163">
        <f t="shared" si="1"/>
        <v>0.83</v>
      </c>
      <c r="F45" s="43">
        <f t="shared" si="2"/>
        <v>2</v>
      </c>
      <c r="G45" s="45">
        <f t="shared" si="3"/>
        <v>0.69904359706868713</v>
      </c>
      <c r="H45" s="4"/>
      <c r="I45" s="4"/>
      <c r="J45" s="4"/>
    </row>
    <row r="46" spans="1:10" x14ac:dyDescent="0.2">
      <c r="A46" s="4"/>
      <c r="B46" s="4"/>
      <c r="C46" s="166">
        <v>5</v>
      </c>
      <c r="D46" s="164">
        <f t="shared" si="0"/>
        <v>0.84</v>
      </c>
      <c r="E46" s="163">
        <f t="shared" si="1"/>
        <v>1.34</v>
      </c>
      <c r="F46" s="43">
        <f>ROUNDUP(RANK(E46,E$42:E$61,1)/4,0)</f>
        <v>5</v>
      </c>
      <c r="G46" s="45">
        <f>D46/E46</f>
        <v>0.62686567164179097</v>
      </c>
      <c r="H46" s="4"/>
      <c r="I46" s="4"/>
      <c r="J46" s="4"/>
    </row>
    <row r="47" spans="1:10" x14ac:dyDescent="0.2">
      <c r="A47" s="22"/>
      <c r="B47" s="22"/>
      <c r="C47" s="166">
        <v>6</v>
      </c>
      <c r="D47" s="164">
        <f t="shared" si="0"/>
        <v>0.88</v>
      </c>
      <c r="E47" s="163">
        <f t="shared" si="1"/>
        <v>1.4</v>
      </c>
      <c r="F47" s="43">
        <f>ROUNDUP(RANK(E47,E$42:E$61,1)/4,0)</f>
        <v>5</v>
      </c>
      <c r="G47" s="45">
        <f>D47/E47</f>
        <v>0.62857142857142867</v>
      </c>
      <c r="H47" s="4"/>
      <c r="I47" s="4"/>
      <c r="J47" s="4"/>
    </row>
    <row r="48" spans="1:10" x14ac:dyDescent="0.2">
      <c r="A48" s="4"/>
      <c r="B48" s="4"/>
      <c r="C48" s="166">
        <v>7</v>
      </c>
      <c r="D48" s="164">
        <f t="shared" si="0"/>
        <v>0.59018867924528307</v>
      </c>
      <c r="E48" s="163">
        <f t="shared" si="1"/>
        <v>0.91</v>
      </c>
      <c r="F48" s="43">
        <f t="shared" si="2"/>
        <v>3</v>
      </c>
      <c r="G48" s="45">
        <f t="shared" si="3"/>
        <v>0.64855898818162971</v>
      </c>
      <c r="H48" s="4"/>
      <c r="I48" s="4"/>
      <c r="J48" s="4"/>
    </row>
    <row r="49" spans="1:10" x14ac:dyDescent="0.2">
      <c r="A49" s="4"/>
      <c r="B49" s="4"/>
      <c r="C49" s="166">
        <v>8</v>
      </c>
      <c r="D49" s="164">
        <f t="shared" si="0"/>
        <v>0.8</v>
      </c>
      <c r="E49" s="163">
        <f t="shared" si="1"/>
        <v>1.26</v>
      </c>
      <c r="F49" s="43">
        <f t="shared" si="2"/>
        <v>5</v>
      </c>
      <c r="G49" s="45">
        <f t="shared" si="3"/>
        <v>0.634920634920635</v>
      </c>
      <c r="H49" s="4"/>
      <c r="I49" s="4"/>
      <c r="J49" s="4"/>
    </row>
    <row r="50" spans="1:10" x14ac:dyDescent="0.2">
      <c r="A50" s="4"/>
      <c r="B50" s="4"/>
      <c r="C50" s="166">
        <v>9</v>
      </c>
      <c r="D50" s="164">
        <f t="shared" si="0"/>
        <v>0.66086956521739126</v>
      </c>
      <c r="E50" s="163">
        <f t="shared" si="1"/>
        <v>1</v>
      </c>
      <c r="F50" s="43">
        <f t="shared" si="2"/>
        <v>4</v>
      </c>
      <c r="G50" s="45">
        <f t="shared" si="3"/>
        <v>0.66086956521739126</v>
      </c>
      <c r="H50" s="4"/>
      <c r="I50" s="4"/>
      <c r="J50" s="4"/>
    </row>
    <row r="51" spans="1:10" x14ac:dyDescent="0.2">
      <c r="A51" s="4"/>
      <c r="B51" s="4"/>
      <c r="C51" s="166">
        <v>10</v>
      </c>
      <c r="D51" s="164">
        <f t="shared" si="0"/>
        <v>0.58040816326530609</v>
      </c>
      <c r="E51" s="163">
        <f t="shared" si="1"/>
        <v>0.86</v>
      </c>
      <c r="F51" s="43">
        <f t="shared" si="2"/>
        <v>2</v>
      </c>
      <c r="G51" s="45">
        <f t="shared" si="3"/>
        <v>0.67489321309919315</v>
      </c>
      <c r="H51" s="4"/>
      <c r="I51" s="4"/>
      <c r="J51" s="4"/>
    </row>
    <row r="52" spans="1:10" x14ac:dyDescent="0.2">
      <c r="A52" s="4"/>
      <c r="B52" s="4"/>
      <c r="C52" s="166">
        <v>11</v>
      </c>
      <c r="D52" s="164">
        <f t="shared" si="0"/>
        <v>0.71030303030303032</v>
      </c>
      <c r="E52" s="163">
        <f t="shared" si="1"/>
        <v>1.18</v>
      </c>
      <c r="F52" s="43">
        <f t="shared" si="2"/>
        <v>4</v>
      </c>
      <c r="G52" s="45">
        <f t="shared" si="3"/>
        <v>0.6019517205957885</v>
      </c>
      <c r="H52" s="4"/>
      <c r="I52" s="4"/>
      <c r="J52" s="4"/>
    </row>
    <row r="53" spans="1:10" x14ac:dyDescent="0.2">
      <c r="A53" s="4"/>
      <c r="B53" s="4"/>
      <c r="C53" s="166">
        <v>12</v>
      </c>
      <c r="D53" s="164">
        <f t="shared" si="0"/>
        <v>0.45</v>
      </c>
      <c r="E53" s="163">
        <f t="shared" si="1"/>
        <v>0.64</v>
      </c>
      <c r="F53" s="43">
        <f t="shared" si="2"/>
        <v>1</v>
      </c>
      <c r="G53" s="45">
        <f t="shared" si="3"/>
        <v>0.703125</v>
      </c>
      <c r="H53" s="4"/>
      <c r="I53" s="4"/>
      <c r="J53" s="4"/>
    </row>
    <row r="54" spans="1:10" x14ac:dyDescent="0.2">
      <c r="A54" s="4"/>
      <c r="B54" s="4"/>
      <c r="C54" s="166">
        <v>13</v>
      </c>
      <c r="D54" s="164">
        <f t="shared" si="0"/>
        <v>0.49028571428571427</v>
      </c>
      <c r="E54" s="163">
        <f t="shared" si="1"/>
        <v>0.75</v>
      </c>
      <c r="F54" s="43">
        <f t="shared" si="2"/>
        <v>1</v>
      </c>
      <c r="G54" s="45">
        <f t="shared" ref="G54:G59" si="4">D54/E54</f>
        <v>0.65371428571428569</v>
      </c>
      <c r="H54" s="4"/>
      <c r="I54" s="4"/>
      <c r="J54" s="4"/>
    </row>
    <row r="55" spans="1:10" x14ac:dyDescent="0.2">
      <c r="A55" s="4"/>
      <c r="B55" s="4"/>
      <c r="C55" s="166">
        <v>14</v>
      </c>
      <c r="D55" s="164">
        <f t="shared" si="0"/>
        <v>0.71014492753623193</v>
      </c>
      <c r="E55" s="163">
        <f t="shared" si="1"/>
        <v>1.1399999999999999</v>
      </c>
      <c r="F55" s="43">
        <f t="shared" si="2"/>
        <v>4</v>
      </c>
      <c r="G55" s="45">
        <f t="shared" si="4"/>
        <v>0.62293414696160698</v>
      </c>
      <c r="H55" s="4"/>
      <c r="I55" s="4"/>
      <c r="J55" s="4"/>
    </row>
    <row r="56" spans="1:10" x14ac:dyDescent="0.2">
      <c r="A56" s="4"/>
      <c r="B56" s="4"/>
      <c r="C56" s="166">
        <v>15</v>
      </c>
      <c r="D56" s="164">
        <f t="shared" si="0"/>
        <v>0.7</v>
      </c>
      <c r="E56" s="163">
        <f t="shared" si="1"/>
        <v>1.1100000000000001</v>
      </c>
      <c r="F56" s="43">
        <f t="shared" si="2"/>
        <v>4</v>
      </c>
      <c r="G56" s="45">
        <f t="shared" si="4"/>
        <v>0.63063063063063052</v>
      </c>
      <c r="H56" s="4"/>
      <c r="I56" s="4"/>
      <c r="J56" s="4"/>
    </row>
    <row r="57" spans="1:10" x14ac:dyDescent="0.2">
      <c r="A57" s="4"/>
      <c r="B57" s="4"/>
      <c r="C57" s="166">
        <v>16</v>
      </c>
      <c r="D57" s="164">
        <f t="shared" si="0"/>
        <v>0.43036144578313251</v>
      </c>
      <c r="E57" s="163">
        <f t="shared" si="1"/>
        <v>0.6</v>
      </c>
      <c r="F57" s="43">
        <f t="shared" si="2"/>
        <v>1</v>
      </c>
      <c r="G57" s="45">
        <f t="shared" si="4"/>
        <v>0.71726907630522085</v>
      </c>
      <c r="H57" s="4"/>
      <c r="I57" s="4"/>
      <c r="J57" s="4"/>
    </row>
    <row r="58" spans="1:10" x14ac:dyDescent="0.2">
      <c r="A58" s="4"/>
      <c r="B58" s="4"/>
      <c r="C58" s="166">
        <v>17</v>
      </c>
      <c r="D58" s="164">
        <f t="shared" si="0"/>
        <v>0.49032258064516127</v>
      </c>
      <c r="E58" s="163">
        <f t="shared" si="1"/>
        <v>0.77</v>
      </c>
      <c r="F58" s="43">
        <f t="shared" si="2"/>
        <v>2</v>
      </c>
      <c r="G58" s="45">
        <f t="shared" si="4"/>
        <v>0.63678257226644319</v>
      </c>
      <c r="H58" s="4"/>
      <c r="I58" s="4"/>
      <c r="J58" s="4"/>
    </row>
    <row r="59" spans="1:10" x14ac:dyDescent="0.2">
      <c r="A59" s="4"/>
      <c r="B59" s="4"/>
      <c r="C59" s="166">
        <v>18</v>
      </c>
      <c r="D59" s="164">
        <f t="shared" si="0"/>
        <v>0.62</v>
      </c>
      <c r="E59" s="163">
        <f t="shared" si="1"/>
        <v>0.98</v>
      </c>
      <c r="F59" s="43">
        <f t="shared" si="2"/>
        <v>3</v>
      </c>
      <c r="G59" s="45">
        <f t="shared" si="4"/>
        <v>0.63265306122448983</v>
      </c>
      <c r="H59" s="4"/>
      <c r="I59" s="4"/>
      <c r="J59" s="4"/>
    </row>
    <row r="60" spans="1:10" x14ac:dyDescent="0.2">
      <c r="A60" s="4"/>
      <c r="B60" s="4"/>
      <c r="C60" s="166">
        <v>19</v>
      </c>
      <c r="D60" s="164">
        <f t="shared" si="0"/>
        <v>0.53030927835051545</v>
      </c>
      <c r="E60" s="163">
        <f t="shared" si="1"/>
        <v>0.79</v>
      </c>
      <c r="F60" s="43">
        <f t="shared" si="2"/>
        <v>2</v>
      </c>
      <c r="G60" s="45">
        <f t="shared" ref="G60:G61" si="5">D60/E60</f>
        <v>0.67127756753229795</v>
      </c>
      <c r="H60" s="4"/>
      <c r="I60" s="4"/>
      <c r="J60" s="4"/>
    </row>
    <row r="61" spans="1:10" x14ac:dyDescent="0.2">
      <c r="A61" s="4"/>
      <c r="B61" s="4"/>
      <c r="C61" s="166">
        <v>20</v>
      </c>
      <c r="D61" s="164">
        <f t="shared" si="0"/>
        <v>0.61043478260869566</v>
      </c>
      <c r="E61" s="163">
        <f t="shared" si="1"/>
        <v>0.95</v>
      </c>
      <c r="F61" s="43">
        <f t="shared" si="2"/>
        <v>3</v>
      </c>
      <c r="G61" s="45">
        <f t="shared" si="5"/>
        <v>0.64256292906178492</v>
      </c>
      <c r="H61" s="4"/>
      <c r="I61" s="4"/>
      <c r="J61" s="4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0" x14ac:dyDescent="0.2">
      <c r="A63" s="4"/>
      <c r="B63" s="4" t="s">
        <v>174</v>
      </c>
      <c r="C63" s="4"/>
      <c r="D63" s="4"/>
      <c r="E63" s="4"/>
      <c r="F63" s="4"/>
      <c r="G63" s="4"/>
      <c r="H63" s="4"/>
      <c r="I63" s="4"/>
    </row>
    <row r="64" spans="1:10" ht="34" x14ac:dyDescent="0.2">
      <c r="A64" s="4"/>
      <c r="B64" s="4"/>
      <c r="C64" s="148" t="s">
        <v>13</v>
      </c>
      <c r="D64" s="148" t="s">
        <v>63</v>
      </c>
      <c r="E64" s="148" t="s">
        <v>52</v>
      </c>
      <c r="F64" s="147" t="s">
        <v>59</v>
      </c>
      <c r="G64" s="4"/>
      <c r="H64" s="4"/>
      <c r="I64" s="4"/>
    </row>
    <row r="65" spans="1:62" x14ac:dyDescent="0.2">
      <c r="A65" s="4"/>
      <c r="B65" s="4"/>
      <c r="C65" s="43">
        <v>1</v>
      </c>
      <c r="D65" s="160">
        <f>AVERAGEIF(F$42:F$61,$C65,E$42:E$61)</f>
        <v>0.66500000000000004</v>
      </c>
      <c r="E65" s="161">
        <f>AVERAGEIF(F$42:F$61,$C65,D$42:D$61)</f>
        <v>0.4553540977095194</v>
      </c>
      <c r="F65" s="159">
        <f>AVERAGEIF(F$42:F$61,$C65,G$42:G$61)</f>
        <v>0.68672456467249998</v>
      </c>
      <c r="G65" s="4"/>
      <c r="H65" s="4"/>
      <c r="I65" s="4"/>
    </row>
    <row r="66" spans="1:62" x14ac:dyDescent="0.2">
      <c r="A66" s="4"/>
      <c r="B66" s="4"/>
      <c r="C66" s="43">
        <v>2</v>
      </c>
      <c r="D66" s="160">
        <f>AVERAGEIF(F$42:F$61,$C66,E$42:E$61)</f>
        <v>0.8125</v>
      </c>
      <c r="E66" s="161">
        <f>AVERAGEIF(F$42:F$61,$C66,D$42:D$61)</f>
        <v>0.54531155195699821</v>
      </c>
      <c r="F66" s="159">
        <f>AVERAGEIF(F$42:F$61,$C66,G$42:G$61)</f>
        <v>0.67049923749165541</v>
      </c>
      <c r="G66" s="4"/>
      <c r="H66" s="4"/>
      <c r="I66" s="4"/>
    </row>
    <row r="67" spans="1:62" x14ac:dyDescent="0.2">
      <c r="A67" s="4"/>
      <c r="B67" s="4"/>
      <c r="C67" s="43">
        <v>3</v>
      </c>
      <c r="D67" s="160">
        <f>AVERAGEIF(F$42:F$61,$C67,E$42:E$61)</f>
        <v>0.93500000000000005</v>
      </c>
      <c r="E67" s="161">
        <f>AVERAGEIF(F$42:F$61,$C67,D$42:D$61)</f>
        <v>0.60039396070159001</v>
      </c>
      <c r="F67" s="159">
        <f>AVERAGEIF(F$42:F$61,$C67,G$42:G$61)</f>
        <v>0.64231940599263759</v>
      </c>
      <c r="G67" s="4"/>
      <c r="H67" s="4"/>
      <c r="I67" s="4"/>
    </row>
    <row r="68" spans="1:62" x14ac:dyDescent="0.2">
      <c r="A68" s="4"/>
      <c r="B68" s="4"/>
      <c r="C68" s="43">
        <v>4</v>
      </c>
      <c r="D68" s="160">
        <f>AVERAGEIF(F$42:F$61,$C68,E$42:E$61)</f>
        <v>1.1074999999999999</v>
      </c>
      <c r="E68" s="161">
        <f>AVERAGEIF(F$42:F$61,$C68,D$42:D$61)</f>
        <v>0.6953293807641634</v>
      </c>
      <c r="F68" s="159">
        <f>AVERAGEIF(F$42:F$61,$C68,G$42:G$61)</f>
        <v>0.62909651585135429</v>
      </c>
      <c r="G68" s="4"/>
      <c r="H68" s="4"/>
      <c r="I68" s="4"/>
    </row>
    <row r="69" spans="1:62" x14ac:dyDescent="0.2">
      <c r="A69" s="4"/>
      <c r="B69" s="4"/>
      <c r="C69" s="43">
        <v>5</v>
      </c>
      <c r="D69" s="160">
        <f>AVERAGEIF(F$42:F$61,$C69,E$42:E$61)</f>
        <v>1.3</v>
      </c>
      <c r="E69" s="161">
        <f>AVERAGEIF(F$42:F$61,$C69,D$42:D$61)</f>
        <v>0.81</v>
      </c>
      <c r="F69" s="159">
        <f>AVERAGEIF(F$42:F$61,$C69,G$42:G$61)</f>
        <v>0.62258943378346365</v>
      </c>
      <c r="G69" s="4"/>
      <c r="H69" s="4"/>
      <c r="I69" s="4"/>
    </row>
    <row r="70" spans="1:62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62" x14ac:dyDescent="0.2">
      <c r="A71" s="4"/>
      <c r="B71" s="4" t="s">
        <v>175</v>
      </c>
      <c r="C71" s="4"/>
      <c r="D71" s="4"/>
      <c r="E71" s="4"/>
      <c r="F71" s="4"/>
      <c r="G71" s="4"/>
      <c r="H71" s="4"/>
      <c r="I71" s="4"/>
    </row>
    <row r="72" spans="1:62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62" x14ac:dyDescent="0.2">
      <c r="A73" s="4"/>
      <c r="B73" s="4" t="s">
        <v>176</v>
      </c>
      <c r="C73" s="4"/>
      <c r="D73" s="4"/>
      <c r="E73" s="4"/>
      <c r="F73" s="4"/>
      <c r="G73" s="4"/>
      <c r="H73" s="4"/>
      <c r="I73" s="4"/>
    </row>
    <row r="74" spans="1:62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62" x14ac:dyDescent="0.2">
      <c r="A75" s="4"/>
      <c r="B75" s="4" t="s">
        <v>178</v>
      </c>
      <c r="C75" s="4"/>
      <c r="D75" s="4"/>
      <c r="E75" s="4"/>
      <c r="F75" s="4"/>
      <c r="G75" s="4"/>
      <c r="H75" s="4"/>
      <c r="I75" s="4"/>
    </row>
    <row r="76" spans="1:62" x14ac:dyDescent="0.2">
      <c r="A76" s="4"/>
      <c r="B76" s="4" t="s">
        <v>180</v>
      </c>
      <c r="C76" s="4"/>
      <c r="D76" s="4"/>
      <c r="E76" s="4"/>
      <c r="F76" s="4"/>
      <c r="G76" s="4"/>
      <c r="H76" s="4"/>
      <c r="I76" s="4"/>
    </row>
    <row r="77" spans="1:62" x14ac:dyDescent="0.2">
      <c r="A77" s="24"/>
      <c r="B77" s="4" t="s">
        <v>179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</row>
    <row r="78" spans="1:62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</row>
    <row r="79" spans="1:62" x14ac:dyDescent="0.2">
      <c r="A79" s="24"/>
      <c r="B79" s="24" t="s">
        <v>1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</row>
    <row r="80" spans="1:62" x14ac:dyDescent="0.2">
      <c r="A80" s="24"/>
      <c r="B80" s="4" t="s">
        <v>433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</row>
    <row r="81" spans="1:62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</row>
    <row r="82" spans="1:62" x14ac:dyDescent="0.2">
      <c r="A82" s="24"/>
      <c r="B82" s="4" t="s">
        <v>434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</row>
    <row r="83" spans="1:62" x14ac:dyDescent="0.2">
      <c r="A83" s="24"/>
      <c r="B83" s="4" t="s">
        <v>435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</row>
    <row r="84" spans="1:62" x14ac:dyDescent="0.2">
      <c r="A84" s="24"/>
      <c r="B84" s="4" t="s">
        <v>436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</row>
    <row r="85" spans="1:62" x14ac:dyDescent="0.2">
      <c r="A85" s="24"/>
      <c r="B85" s="4" t="s">
        <v>437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</row>
    <row r="86" spans="1:62" x14ac:dyDescent="0.2">
      <c r="A86" s="24"/>
      <c r="B86" s="4" t="s">
        <v>438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</row>
    <row r="87" spans="1:62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</row>
    <row r="88" spans="1:62" ht="19" x14ac:dyDescent="0.25">
      <c r="A88" s="21" t="s">
        <v>5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</row>
    <row r="89" spans="1:62" x14ac:dyDescent="0.2">
      <c r="A89" s="4" t="s">
        <v>181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</row>
    <row r="90" spans="1:62" x14ac:dyDescent="0.2">
      <c r="A90" s="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</row>
    <row r="91" spans="1:62" x14ac:dyDescent="0.2">
      <c r="A91" s="4"/>
      <c r="B91" s="24" t="s">
        <v>170</v>
      </c>
      <c r="C91" s="24" t="s">
        <v>182</v>
      </c>
      <c r="D91" s="24" t="s">
        <v>183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</row>
    <row r="92" spans="1:62" x14ac:dyDescent="0.2">
      <c r="A92" s="4"/>
      <c r="B92" s="24">
        <f>C92/C$94</f>
        <v>0.8</v>
      </c>
      <c r="C92" s="77">
        <v>0.4</v>
      </c>
      <c r="D92" s="24">
        <f>C92/B92</f>
        <v>0.5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</row>
    <row r="93" spans="1:62" x14ac:dyDescent="0.2">
      <c r="A93" s="4"/>
      <c r="B93" s="24">
        <f>C93/C$94</f>
        <v>0.9</v>
      </c>
      <c r="C93" s="77">
        <v>0.45</v>
      </c>
      <c r="D93" s="24">
        <f>C93/B93</f>
        <v>0.5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</row>
    <row r="94" spans="1:62" x14ac:dyDescent="0.2">
      <c r="A94" s="4"/>
      <c r="B94" s="24">
        <f>C94/C$94</f>
        <v>1</v>
      </c>
      <c r="C94" s="77">
        <v>0.5</v>
      </c>
      <c r="D94" s="24">
        <f>C94/B94</f>
        <v>0.5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</row>
    <row r="95" spans="1:62" x14ac:dyDescent="0.2">
      <c r="A95" s="4"/>
      <c r="B95" s="24">
        <f>C95/C$94</f>
        <v>1.1000000000000001</v>
      </c>
      <c r="C95" s="77">
        <v>0.55000000000000004</v>
      </c>
      <c r="D95" s="24">
        <f>C95/B95</f>
        <v>0.5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</row>
    <row r="96" spans="1:62" x14ac:dyDescent="0.2">
      <c r="A96" s="4"/>
      <c r="B96" s="24">
        <f>C96/C$94</f>
        <v>1.2</v>
      </c>
      <c r="C96" s="77">
        <v>0.6</v>
      </c>
      <c r="D96" s="24">
        <f>C96/B96</f>
        <v>0.5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</row>
    <row r="97" spans="1:62" x14ac:dyDescent="0.2">
      <c r="A97" s="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</row>
    <row r="98" spans="1:62" x14ac:dyDescent="0.2">
      <c r="A98" s="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</row>
    <row r="99" spans="1:62" x14ac:dyDescent="0.2">
      <c r="A99" s="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</row>
    <row r="100" spans="1:62" x14ac:dyDescent="0.2">
      <c r="A100" s="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</row>
    <row r="101" spans="1:62" x14ac:dyDescent="0.2">
      <c r="A101" s="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</row>
    <row r="102" spans="1:62" x14ac:dyDescent="0.2">
      <c r="A102" s="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</row>
    <row r="103" spans="1:62" x14ac:dyDescent="0.2">
      <c r="A103" s="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</row>
    <row r="104" spans="1:62" x14ac:dyDescent="0.2">
      <c r="A104" s="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</row>
    <row r="105" spans="1:62" x14ac:dyDescent="0.2">
      <c r="A105" s="4" t="s">
        <v>432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</row>
    <row r="106" spans="1:62" x14ac:dyDescent="0.2">
      <c r="A106" s="4" t="s">
        <v>184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</row>
    <row r="107" spans="1:62" x14ac:dyDescent="0.2">
      <c r="A107" s="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</row>
    <row r="108" spans="1:62" x14ac:dyDescent="0.2">
      <c r="A108" s="4" t="s">
        <v>185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</row>
    <row r="109" spans="1:62" x14ac:dyDescent="0.2">
      <c r="A109" s="4" t="s">
        <v>186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</row>
    <row r="110" spans="1:62" x14ac:dyDescent="0.2">
      <c r="A110" s="4" t="s">
        <v>187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</row>
    <row r="111" spans="1:62" x14ac:dyDescent="0.2">
      <c r="A111" s="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</row>
    <row r="112" spans="1:62" x14ac:dyDescent="0.2">
      <c r="A112" s="4" t="s">
        <v>439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</row>
    <row r="113" spans="1:62" x14ac:dyDescent="0.2">
      <c r="A113" s="4" t="s">
        <v>440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</row>
    <row r="114" spans="1:62" x14ac:dyDescent="0.2">
      <c r="A114" s="4" t="s">
        <v>441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</row>
    <row r="115" spans="1:62" x14ac:dyDescent="0.2">
      <c r="A115" s="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</row>
    <row r="116" spans="1:62" ht="19" x14ac:dyDescent="0.25">
      <c r="A116" s="21" t="s">
        <v>6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</row>
    <row r="117" spans="1:62" x14ac:dyDescent="0.2">
      <c r="A117" s="4" t="s">
        <v>167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</row>
    <row r="118" spans="1:62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</row>
    <row r="119" spans="1:62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</row>
    <row r="120" spans="1:62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</row>
    <row r="121" spans="1:62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</row>
    <row r="122" spans="1:62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</row>
    <row r="123" spans="1:62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</row>
    <row r="124" spans="1:62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</row>
    <row r="125" spans="1:62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</row>
    <row r="126" spans="1:62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</row>
    <row r="127" spans="1:62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</row>
    <row r="128" spans="1:62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</row>
    <row r="129" spans="1:62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</row>
    <row r="130" spans="1:62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</row>
    <row r="131" spans="1:62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</row>
    <row r="132" spans="1:62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</row>
    <row r="133" spans="1:62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</row>
    <row r="134" spans="1:62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</row>
    <row r="135" spans="1:62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</row>
    <row r="136" spans="1:62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</row>
    <row r="137" spans="1:62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</row>
    <row r="138" spans="1:62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</row>
    <row r="139" spans="1:62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</row>
    <row r="140" spans="1:62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</row>
    <row r="141" spans="1:62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</row>
    <row r="142" spans="1:62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</row>
    <row r="143" spans="1:62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</row>
    <row r="144" spans="1:62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</row>
    <row r="145" spans="1:62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</row>
    <row r="146" spans="1:62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</row>
    <row r="147" spans="1:62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</row>
    <row r="148" spans="1:62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</row>
    <row r="149" spans="1:62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</row>
    <row r="150" spans="1:62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</row>
    <row r="151" spans="1:62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</row>
    <row r="152" spans="1:62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</row>
    <row r="153" spans="1:62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</row>
    <row r="154" spans="1:62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</row>
    <row r="155" spans="1:62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</row>
    <row r="156" spans="1:62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</row>
    <row r="157" spans="1:62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</row>
    <row r="158" spans="1:62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</row>
    <row r="159" spans="1:62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</row>
    <row r="160" spans="1:62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</row>
    <row r="161" spans="1:62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</row>
    <row r="162" spans="1:62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</row>
    <row r="163" spans="1:62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</row>
    <row r="164" spans="1:62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</row>
    <row r="165" spans="1:62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</row>
    <row r="166" spans="1:62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</row>
    <row r="167" spans="1:62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</row>
    <row r="168" spans="1:62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</row>
    <row r="169" spans="1:62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</row>
    <row r="170" spans="1:62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</row>
    <row r="171" spans="1:62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</row>
    <row r="172" spans="1:62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</row>
    <row r="173" spans="1:62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</row>
    <row r="174" spans="1:62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</row>
    <row r="175" spans="1:62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</row>
    <row r="176" spans="1:62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</row>
    <row r="177" spans="1:62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</row>
    <row r="178" spans="1:62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</row>
    <row r="179" spans="1:62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</row>
    <row r="180" spans="1:62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</row>
    <row r="181" spans="1:62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</row>
    <row r="182" spans="1:62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</row>
    <row r="183" spans="1:62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</row>
    <row r="184" spans="1:62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</row>
    <row r="185" spans="1:62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</row>
    <row r="186" spans="1:62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</row>
    <row r="187" spans="1:62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</row>
    <row r="188" spans="1:62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</row>
    <row r="189" spans="1:62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</row>
    <row r="190" spans="1:62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</row>
    <row r="191" spans="1:62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</row>
    <row r="192" spans="1:62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</row>
    <row r="193" spans="1:62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</row>
    <row r="194" spans="1:62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43AD4-2BF6-774E-9D66-FFA90ADF929E}">
  <dimension ref="A1:BM215"/>
  <sheetViews>
    <sheetView showGridLines="0" zoomScale="120" zoomScaleNormal="120" workbookViewId="0"/>
  </sheetViews>
  <sheetFormatPr baseColWidth="10" defaultRowHeight="16" x14ac:dyDescent="0.2"/>
  <cols>
    <col min="1" max="2" width="10.83203125" style="18"/>
    <col min="3" max="3" width="11.83203125" style="18" bestFit="1" customWidth="1"/>
    <col min="4" max="16384" width="10.83203125" style="18"/>
  </cols>
  <sheetData>
    <row r="1" spans="1:10" ht="19" x14ac:dyDescent="0.25">
      <c r="A1" s="16" t="s">
        <v>188</v>
      </c>
      <c r="B1" s="17"/>
      <c r="C1" s="17"/>
      <c r="D1" s="17"/>
      <c r="E1" s="17"/>
      <c r="F1" s="17"/>
      <c r="G1" s="17"/>
      <c r="H1" s="17"/>
      <c r="I1" s="17"/>
      <c r="J1" s="1"/>
    </row>
    <row r="2" spans="1:10" x14ac:dyDescent="0.2">
      <c r="A2" s="19"/>
      <c r="B2" s="17"/>
      <c r="C2" s="17"/>
      <c r="D2" s="17"/>
      <c r="E2" s="17"/>
      <c r="F2" s="17"/>
      <c r="G2" s="17"/>
      <c r="H2" s="17"/>
      <c r="I2" s="17"/>
      <c r="J2" s="1"/>
    </row>
    <row r="3" spans="1:10" ht="19" x14ac:dyDescent="0.25">
      <c r="A3" s="19"/>
      <c r="B3" s="136" t="s">
        <v>8</v>
      </c>
      <c r="C3" s="17"/>
      <c r="D3" s="17"/>
      <c r="E3" s="17"/>
      <c r="F3" s="17"/>
      <c r="G3" s="17"/>
      <c r="H3" s="17"/>
      <c r="I3" s="17"/>
      <c r="J3" s="1"/>
    </row>
    <row r="4" spans="1:10" x14ac:dyDescent="0.2">
      <c r="A4" s="19"/>
      <c r="B4" s="17" t="s">
        <v>239</v>
      </c>
      <c r="C4" s="17"/>
      <c r="D4" s="17"/>
      <c r="E4" s="17"/>
      <c r="F4" s="17"/>
      <c r="G4" s="17"/>
      <c r="H4" s="17"/>
      <c r="I4" s="17"/>
      <c r="J4" s="1"/>
    </row>
    <row r="5" spans="1:10" x14ac:dyDescent="0.2">
      <c r="A5" s="19"/>
      <c r="B5" s="17" t="s">
        <v>189</v>
      </c>
      <c r="C5" s="17"/>
      <c r="D5" s="17"/>
      <c r="E5" s="17"/>
      <c r="F5" s="17"/>
      <c r="G5" s="17"/>
      <c r="H5" s="17"/>
      <c r="I5" s="17"/>
      <c r="J5" s="1"/>
    </row>
    <row r="6" spans="1:10" x14ac:dyDescent="0.2">
      <c r="A6" s="19"/>
      <c r="B6" s="17" t="s">
        <v>190</v>
      </c>
      <c r="C6" s="17"/>
      <c r="D6" s="17"/>
      <c r="E6" s="17"/>
      <c r="F6" s="17"/>
      <c r="G6" s="17"/>
      <c r="H6" s="17"/>
      <c r="I6" s="17"/>
      <c r="J6" s="1"/>
    </row>
    <row r="7" spans="1:10" x14ac:dyDescent="0.2">
      <c r="A7" s="19"/>
      <c r="B7" s="17"/>
      <c r="C7" s="17"/>
      <c r="D7" s="17"/>
      <c r="E7" s="17"/>
      <c r="F7" s="17"/>
      <c r="G7" s="17"/>
      <c r="H7" s="17"/>
      <c r="I7" s="17"/>
      <c r="J7" s="1"/>
    </row>
    <row r="8" spans="1:10" x14ac:dyDescent="0.2">
      <c r="A8" s="19"/>
      <c r="B8" s="17" t="s">
        <v>191</v>
      </c>
      <c r="C8" s="17"/>
      <c r="D8" s="17"/>
      <c r="E8" s="17"/>
      <c r="F8" s="17"/>
      <c r="G8" s="17"/>
      <c r="H8" s="17"/>
      <c r="I8" s="17"/>
      <c r="J8" s="1"/>
    </row>
    <row r="9" spans="1:10" x14ac:dyDescent="0.2">
      <c r="A9" s="19"/>
      <c r="B9" s="17"/>
      <c r="C9" s="17"/>
      <c r="D9" s="17"/>
      <c r="E9" s="17"/>
      <c r="F9" s="17"/>
      <c r="G9" s="17"/>
      <c r="H9" s="17"/>
      <c r="I9" s="17"/>
      <c r="J9" s="1"/>
    </row>
    <row r="10" spans="1:10" x14ac:dyDescent="0.2">
      <c r="A10" s="19"/>
      <c r="B10" s="17"/>
      <c r="C10" s="17"/>
      <c r="D10" s="27" t="s">
        <v>192</v>
      </c>
      <c r="E10" s="33">
        <v>200000</v>
      </c>
      <c r="F10" s="17"/>
      <c r="G10" s="17"/>
      <c r="H10" s="17"/>
      <c r="I10" s="17"/>
      <c r="J10" s="1"/>
    </row>
    <row r="11" spans="1:10" x14ac:dyDescent="0.2">
      <c r="A11" s="19"/>
      <c r="B11" s="17"/>
      <c r="C11" s="17"/>
      <c r="D11" s="27" t="s">
        <v>193</v>
      </c>
      <c r="E11" s="28">
        <v>1.25</v>
      </c>
      <c r="F11" s="17"/>
      <c r="G11" s="17"/>
      <c r="H11" s="17"/>
      <c r="I11" s="17"/>
      <c r="J11" s="1"/>
    </row>
    <row r="12" spans="1:10" x14ac:dyDescent="0.2">
      <c r="A12" s="19"/>
      <c r="B12" s="17"/>
      <c r="C12" s="17"/>
      <c r="D12" s="27" t="s">
        <v>194</v>
      </c>
      <c r="E12" s="33">
        <v>150000</v>
      </c>
      <c r="F12" s="17"/>
      <c r="G12" s="17"/>
      <c r="H12" s="17"/>
      <c r="I12" s="17"/>
      <c r="J12" s="1"/>
    </row>
    <row r="13" spans="1:10" x14ac:dyDescent="0.2">
      <c r="A13" s="19"/>
      <c r="B13" s="17"/>
      <c r="C13" s="17"/>
      <c r="D13" s="27" t="s">
        <v>195</v>
      </c>
      <c r="E13" s="33">
        <v>600000</v>
      </c>
      <c r="F13" s="17"/>
      <c r="G13" s="17"/>
      <c r="H13" s="17"/>
      <c r="I13" s="17"/>
      <c r="J13" s="1"/>
    </row>
    <row r="14" spans="1:10" x14ac:dyDescent="0.2">
      <c r="A14" s="19"/>
      <c r="B14" s="17"/>
      <c r="C14" s="17"/>
      <c r="D14" s="17"/>
      <c r="E14" s="17"/>
      <c r="F14" s="17"/>
      <c r="G14" s="17"/>
      <c r="H14" s="17"/>
      <c r="I14" s="17"/>
      <c r="J14" s="1"/>
    </row>
    <row r="15" spans="1:10" x14ac:dyDescent="0.2">
      <c r="A15" s="19"/>
      <c r="B15" s="17" t="s">
        <v>219</v>
      </c>
      <c r="C15" s="17"/>
      <c r="D15" s="17"/>
      <c r="E15" s="17"/>
      <c r="F15" s="17"/>
      <c r="G15" s="17"/>
      <c r="H15" s="17"/>
      <c r="I15" s="17"/>
      <c r="J15" s="1"/>
    </row>
    <row r="16" spans="1:10" x14ac:dyDescent="0.2">
      <c r="A16" s="19"/>
      <c r="B16" s="17"/>
      <c r="C16" s="17"/>
      <c r="D16" s="17"/>
      <c r="E16" s="17"/>
      <c r="F16" s="17"/>
      <c r="G16" s="17"/>
      <c r="H16" s="17"/>
      <c r="I16" s="17"/>
      <c r="J16" s="1"/>
    </row>
    <row r="17" spans="1:10" x14ac:dyDescent="0.2">
      <c r="A17" s="19"/>
      <c r="B17" s="17" t="s">
        <v>196</v>
      </c>
      <c r="C17" s="17"/>
      <c r="D17" s="17"/>
      <c r="E17" s="17"/>
      <c r="F17" s="17"/>
      <c r="G17" s="17"/>
      <c r="H17" s="17"/>
      <c r="I17" s="17"/>
      <c r="J17" s="1"/>
    </row>
    <row r="18" spans="1:10" x14ac:dyDescent="0.2">
      <c r="A18" s="19"/>
      <c r="B18" s="17"/>
      <c r="C18" s="17"/>
      <c r="D18" s="17"/>
      <c r="E18" s="17"/>
      <c r="F18" s="17"/>
      <c r="G18" s="17"/>
      <c r="H18" s="17"/>
      <c r="I18" s="17"/>
      <c r="J18" s="1"/>
    </row>
    <row r="19" spans="1:10" x14ac:dyDescent="0.2">
      <c r="A19" s="19"/>
      <c r="B19" s="17"/>
      <c r="C19" s="51"/>
      <c r="D19" s="209" t="s">
        <v>197</v>
      </c>
      <c r="E19" s="209"/>
      <c r="F19" s="209"/>
      <c r="G19" s="209"/>
      <c r="H19" s="209"/>
      <c r="I19" s="209"/>
      <c r="J19" s="1"/>
    </row>
    <row r="20" spans="1:10" x14ac:dyDescent="0.2">
      <c r="A20" s="19"/>
      <c r="B20" s="17"/>
      <c r="C20" s="3" t="s">
        <v>25</v>
      </c>
      <c r="D20" s="154">
        <v>44013</v>
      </c>
      <c r="E20" s="154">
        <v>44197</v>
      </c>
      <c r="F20" s="154">
        <v>44378</v>
      </c>
      <c r="G20" s="154">
        <v>44562</v>
      </c>
      <c r="H20" s="154">
        <v>44743</v>
      </c>
      <c r="I20" s="154">
        <v>44927</v>
      </c>
      <c r="J20" s="1"/>
    </row>
    <row r="21" spans="1:10" x14ac:dyDescent="0.2">
      <c r="A21" s="19"/>
      <c r="B21" s="17"/>
      <c r="C21" s="2">
        <v>1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25000</v>
      </c>
      <c r="J21" s="1"/>
    </row>
    <row r="22" spans="1:10" x14ac:dyDescent="0.2">
      <c r="A22" s="19"/>
      <c r="B22" s="17"/>
      <c r="C22" s="2">
        <v>2</v>
      </c>
      <c r="D22" s="33">
        <v>10000</v>
      </c>
      <c r="E22" s="33">
        <v>10000</v>
      </c>
      <c r="F22" s="33">
        <v>10000</v>
      </c>
      <c r="G22" s="33">
        <v>15000</v>
      </c>
      <c r="H22" s="33">
        <v>15000</v>
      </c>
      <c r="I22" s="33">
        <v>15000</v>
      </c>
      <c r="J22" s="1"/>
    </row>
    <row r="23" spans="1:10" x14ac:dyDescent="0.2">
      <c r="A23" s="19"/>
      <c r="B23" s="17"/>
      <c r="C23" s="2">
        <v>3</v>
      </c>
      <c r="D23" s="33">
        <v>20000</v>
      </c>
      <c r="E23" s="33">
        <v>75000</v>
      </c>
      <c r="F23" s="33">
        <v>80000</v>
      </c>
      <c r="G23" s="33">
        <v>100000</v>
      </c>
      <c r="H23" s="33">
        <v>100000</v>
      </c>
      <c r="I23" s="33">
        <v>100000</v>
      </c>
      <c r="J23" s="1"/>
    </row>
    <row r="24" spans="1:10" x14ac:dyDescent="0.2">
      <c r="A24" s="19"/>
      <c r="B24" s="17"/>
      <c r="C24" s="2">
        <v>4</v>
      </c>
      <c r="D24" s="33">
        <v>5000</v>
      </c>
      <c r="E24" s="33">
        <v>25000</v>
      </c>
      <c r="F24" s="33">
        <v>15000</v>
      </c>
      <c r="G24" s="33">
        <v>25000</v>
      </c>
      <c r="H24" s="33">
        <v>25000</v>
      </c>
      <c r="I24" s="33">
        <v>20000</v>
      </c>
      <c r="J24" s="1"/>
    </row>
    <row r="25" spans="1:10" x14ac:dyDescent="0.2">
      <c r="A25" s="19"/>
      <c r="B25" s="17"/>
      <c r="C25" s="2">
        <v>5</v>
      </c>
      <c r="D25" s="33">
        <v>250000</v>
      </c>
      <c r="E25" s="33">
        <v>250000</v>
      </c>
      <c r="F25" s="33">
        <v>150000</v>
      </c>
      <c r="G25" s="33">
        <v>200000</v>
      </c>
      <c r="H25" s="33">
        <v>250000</v>
      </c>
      <c r="I25" s="33">
        <v>250000</v>
      </c>
      <c r="J25" s="1"/>
    </row>
    <row r="26" spans="1:10" x14ac:dyDescent="0.2">
      <c r="A26" s="19"/>
      <c r="B26" s="17"/>
      <c r="C26" s="2">
        <v>6</v>
      </c>
      <c r="D26" s="33">
        <v>0</v>
      </c>
      <c r="E26" s="33">
        <v>0</v>
      </c>
      <c r="F26" s="33">
        <v>0</v>
      </c>
      <c r="G26" s="33">
        <v>50000</v>
      </c>
      <c r="H26" s="33">
        <v>50000</v>
      </c>
      <c r="I26" s="33">
        <v>30000</v>
      </c>
      <c r="J26" s="1"/>
    </row>
    <row r="27" spans="1:10" x14ac:dyDescent="0.2">
      <c r="A27" s="19"/>
      <c r="B27" s="17"/>
      <c r="C27" s="2">
        <v>7</v>
      </c>
      <c r="D27" s="33">
        <v>0</v>
      </c>
      <c r="E27" s="33">
        <v>7500</v>
      </c>
      <c r="F27" s="33">
        <v>5000</v>
      </c>
      <c r="G27" s="33">
        <v>5000</v>
      </c>
      <c r="H27" s="33">
        <v>5000</v>
      </c>
      <c r="I27" s="33">
        <v>5000</v>
      </c>
      <c r="J27" s="1"/>
    </row>
    <row r="28" spans="1:10" x14ac:dyDescent="0.2">
      <c r="A28" s="19"/>
      <c r="B28" s="17"/>
      <c r="C28" s="2">
        <v>8</v>
      </c>
      <c r="D28" s="33">
        <v>15000</v>
      </c>
      <c r="E28" s="33">
        <v>50000</v>
      </c>
      <c r="F28" s="33">
        <v>30000</v>
      </c>
      <c r="G28" s="33">
        <v>30000</v>
      </c>
      <c r="H28" s="33">
        <v>30000</v>
      </c>
      <c r="I28" s="33">
        <v>60000</v>
      </c>
      <c r="J28" s="1"/>
    </row>
    <row r="29" spans="1:10" x14ac:dyDescent="0.2">
      <c r="A29" s="19"/>
      <c r="B29" s="17"/>
      <c r="C29" s="2">
        <v>9</v>
      </c>
      <c r="D29" s="33">
        <v>80000</v>
      </c>
      <c r="E29" s="33">
        <v>100000</v>
      </c>
      <c r="F29" s="33">
        <v>100000</v>
      </c>
      <c r="G29" s="33">
        <v>175000</v>
      </c>
      <c r="H29" s="33">
        <v>300000</v>
      </c>
      <c r="I29" s="33">
        <v>275000</v>
      </c>
      <c r="J29" s="1"/>
    </row>
    <row r="30" spans="1:10" x14ac:dyDescent="0.2">
      <c r="A30" s="19"/>
      <c r="B30" s="17"/>
      <c r="C30" s="2">
        <v>10</v>
      </c>
      <c r="D30" s="33">
        <v>100000</v>
      </c>
      <c r="E30" s="33">
        <v>80000</v>
      </c>
      <c r="F30" s="33">
        <v>75000</v>
      </c>
      <c r="G30" s="33">
        <v>40000</v>
      </c>
      <c r="H30" s="33">
        <v>40000</v>
      </c>
      <c r="I30" s="33">
        <v>40000</v>
      </c>
      <c r="J30" s="1"/>
    </row>
    <row r="31" spans="1:10" x14ac:dyDescent="0.2">
      <c r="A31" s="19"/>
      <c r="B31" s="17"/>
      <c r="C31" s="28"/>
      <c r="D31" s="17"/>
      <c r="E31" s="17"/>
      <c r="F31" s="17"/>
      <c r="G31" s="17"/>
      <c r="H31" s="17"/>
      <c r="I31" s="17"/>
      <c r="J31" s="1"/>
    </row>
    <row r="32" spans="1:10" x14ac:dyDescent="0.2">
      <c r="A32" s="19"/>
      <c r="B32" s="17" t="s">
        <v>198</v>
      </c>
      <c r="C32" s="17"/>
      <c r="D32" s="17"/>
      <c r="E32" s="17"/>
      <c r="F32" s="17"/>
      <c r="G32" s="17"/>
      <c r="H32" s="17"/>
      <c r="I32" s="17"/>
      <c r="J32" s="1"/>
    </row>
    <row r="33" spans="1:10" x14ac:dyDescent="0.2">
      <c r="A33" s="19"/>
      <c r="B33" s="17"/>
      <c r="C33" s="17"/>
      <c r="D33" s="17"/>
      <c r="E33" s="17"/>
      <c r="F33" s="17"/>
      <c r="G33" s="17"/>
      <c r="H33" s="17"/>
      <c r="I33" s="17"/>
      <c r="J33" s="1"/>
    </row>
    <row r="34" spans="1:10" x14ac:dyDescent="0.2">
      <c r="A34" s="19"/>
      <c r="B34" s="17"/>
      <c r="C34" s="157" t="s">
        <v>199</v>
      </c>
      <c r="D34" s="131" t="s">
        <v>200</v>
      </c>
      <c r="E34" s="131" t="s">
        <v>201</v>
      </c>
      <c r="F34" s="131" t="s">
        <v>202</v>
      </c>
      <c r="G34" s="131" t="s">
        <v>203</v>
      </c>
      <c r="H34" s="131" t="s">
        <v>204</v>
      </c>
      <c r="I34" s="17"/>
      <c r="J34" s="1"/>
    </row>
    <row r="35" spans="1:10" x14ac:dyDescent="0.2">
      <c r="A35" s="19"/>
      <c r="B35" s="17"/>
      <c r="C35" s="76">
        <v>1.05</v>
      </c>
      <c r="D35" s="76">
        <v>1.125</v>
      </c>
      <c r="E35" s="76">
        <v>1.175</v>
      </c>
      <c r="F35" s="76">
        <v>1.1000000000000001</v>
      </c>
      <c r="G35" s="28">
        <v>1.008</v>
      </c>
      <c r="H35" s="28">
        <v>1.0049999999999999</v>
      </c>
      <c r="I35" s="17"/>
      <c r="J35" s="1"/>
    </row>
    <row r="36" spans="1:10" x14ac:dyDescent="0.2">
      <c r="A36" s="19"/>
      <c r="B36" s="17"/>
      <c r="C36" s="17"/>
      <c r="D36" s="17"/>
      <c r="E36" s="17"/>
      <c r="F36" s="17"/>
      <c r="G36" s="17"/>
      <c r="H36" s="17"/>
      <c r="I36" s="17"/>
      <c r="J36" s="1"/>
    </row>
    <row r="37" spans="1:10" x14ac:dyDescent="0.2">
      <c r="A37" s="19"/>
      <c r="B37" s="17" t="s">
        <v>205</v>
      </c>
      <c r="C37" s="17"/>
      <c r="D37" s="17"/>
      <c r="E37" s="17"/>
      <c r="F37" s="17"/>
      <c r="G37" s="17"/>
      <c r="H37" s="17"/>
      <c r="I37" s="17"/>
      <c r="J37" s="1"/>
    </row>
    <row r="38" spans="1:10" x14ac:dyDescent="0.2">
      <c r="A38" s="19"/>
      <c r="B38" s="17"/>
      <c r="C38" s="17"/>
      <c r="D38" s="17"/>
      <c r="E38" s="17"/>
      <c r="F38" s="17"/>
      <c r="G38" s="17"/>
      <c r="H38" s="17"/>
      <c r="I38" s="17"/>
      <c r="J38" s="1"/>
    </row>
    <row r="39" spans="1:10" x14ac:dyDescent="0.2">
      <c r="A39" s="19"/>
      <c r="B39" s="17" t="s">
        <v>0</v>
      </c>
      <c r="C39" s="17"/>
      <c r="D39" s="17"/>
      <c r="E39" s="17"/>
      <c r="F39" s="17"/>
      <c r="G39" s="17"/>
      <c r="H39" s="17"/>
      <c r="I39" s="17"/>
      <c r="J39" s="1"/>
    </row>
    <row r="40" spans="1:10" x14ac:dyDescent="0.2">
      <c r="A40" s="19"/>
      <c r="B40" s="17" t="s">
        <v>206</v>
      </c>
      <c r="C40" s="17"/>
      <c r="D40" s="17"/>
      <c r="E40" s="17"/>
      <c r="F40" s="17"/>
      <c r="G40" s="17"/>
      <c r="H40" s="17"/>
      <c r="I40" s="17"/>
      <c r="J40" s="1"/>
    </row>
    <row r="41" spans="1:10" x14ac:dyDescent="0.2">
      <c r="A41" s="19"/>
      <c r="B41" s="17"/>
      <c r="C41" s="17"/>
      <c r="D41" s="17"/>
      <c r="E41" s="17"/>
      <c r="F41" s="17"/>
      <c r="G41" s="17"/>
      <c r="H41" s="17"/>
      <c r="I41" s="17"/>
      <c r="J41" s="1"/>
    </row>
    <row r="42" spans="1:10" x14ac:dyDescent="0.2">
      <c r="A42" s="19"/>
      <c r="B42" s="17" t="s">
        <v>1</v>
      </c>
      <c r="C42" s="17"/>
      <c r="D42" s="17"/>
      <c r="E42" s="17"/>
      <c r="F42" s="17"/>
      <c r="G42" s="17"/>
      <c r="H42" s="17"/>
      <c r="I42" s="17"/>
      <c r="J42" s="1"/>
    </row>
    <row r="43" spans="1:10" x14ac:dyDescent="0.2">
      <c r="A43" s="19"/>
      <c r="B43" s="17" t="s">
        <v>207</v>
      </c>
      <c r="C43" s="17"/>
      <c r="D43" s="17"/>
      <c r="E43" s="17"/>
      <c r="F43" s="17"/>
      <c r="G43" s="17"/>
      <c r="H43" s="17"/>
      <c r="I43" s="17"/>
      <c r="J43" s="1"/>
    </row>
    <row r="44" spans="1:10" x14ac:dyDescent="0.2">
      <c r="A44" s="19"/>
      <c r="B44" s="17"/>
      <c r="C44" s="17"/>
      <c r="D44" s="17"/>
      <c r="E44" s="17"/>
      <c r="F44" s="17"/>
      <c r="G44" s="17"/>
      <c r="H44" s="17"/>
      <c r="I44" s="17"/>
      <c r="J44" s="1"/>
    </row>
    <row r="45" spans="1:10" x14ac:dyDescent="0.2">
      <c r="A45" s="19"/>
      <c r="B45" s="17" t="s">
        <v>2</v>
      </c>
      <c r="C45" s="17"/>
      <c r="D45" s="17"/>
      <c r="E45" s="17"/>
      <c r="F45" s="17"/>
      <c r="G45" s="17"/>
      <c r="H45" s="17"/>
      <c r="I45" s="17"/>
      <c r="J45" s="1"/>
    </row>
    <row r="46" spans="1:10" x14ac:dyDescent="0.2">
      <c r="A46" s="19"/>
      <c r="B46" s="17" t="s">
        <v>220</v>
      </c>
      <c r="C46" s="17"/>
      <c r="D46" s="17"/>
      <c r="E46" s="17"/>
      <c r="F46" s="17"/>
      <c r="G46" s="17"/>
      <c r="H46" s="17"/>
      <c r="I46" s="17"/>
      <c r="J46" s="1"/>
    </row>
    <row r="47" spans="1:10" ht="17" thickBot="1" x14ac:dyDescent="0.25">
      <c r="A47" s="20"/>
      <c r="B47" s="6"/>
      <c r="C47" s="64"/>
      <c r="D47" s="64"/>
      <c r="E47" s="64"/>
      <c r="F47" s="6"/>
      <c r="G47" s="6"/>
      <c r="H47" s="6"/>
      <c r="I47" s="6"/>
      <c r="J47" s="7"/>
    </row>
    <row r="48" spans="1:10" x14ac:dyDescent="0.2">
      <c r="A48" s="4"/>
      <c r="B48" s="4"/>
      <c r="C48" s="4"/>
      <c r="D48" s="4"/>
      <c r="E48" s="4"/>
      <c r="F48" s="4"/>
      <c r="G48" s="4"/>
      <c r="H48" s="4"/>
      <c r="I48" s="4"/>
    </row>
    <row r="49" spans="1:12" ht="19" x14ac:dyDescent="0.25">
      <c r="A49" s="21" t="s">
        <v>3</v>
      </c>
      <c r="B49" s="4"/>
      <c r="C49" s="4"/>
      <c r="D49" s="4"/>
      <c r="E49" s="4"/>
      <c r="F49" s="4"/>
      <c r="G49" s="4"/>
      <c r="H49" s="4"/>
      <c r="I49" s="4"/>
    </row>
    <row r="50" spans="1:12" x14ac:dyDescent="0.2">
      <c r="A50" s="22"/>
      <c r="B50" s="4" t="s">
        <v>0</v>
      </c>
      <c r="C50" s="23"/>
      <c r="D50" s="4"/>
      <c r="E50" s="4"/>
      <c r="F50" s="4"/>
      <c r="G50" s="4"/>
      <c r="H50" s="4"/>
      <c r="I50" s="4"/>
    </row>
    <row r="51" spans="1:12" x14ac:dyDescent="0.2">
      <c r="A51" s="4"/>
      <c r="B51" s="4" t="s">
        <v>208</v>
      </c>
      <c r="C51" s="4"/>
      <c r="D51" s="4"/>
      <c r="E51" s="4"/>
      <c r="F51" s="4"/>
      <c r="G51" s="4"/>
      <c r="H51" s="4"/>
      <c r="I51" s="4"/>
    </row>
    <row r="52" spans="1:12" x14ac:dyDescent="0.2">
      <c r="A52" s="4"/>
      <c r="B52" s="4"/>
      <c r="C52" s="4"/>
      <c r="D52" s="4"/>
      <c r="E52" s="4"/>
      <c r="F52" s="4"/>
      <c r="G52" s="4"/>
      <c r="H52" s="4"/>
      <c r="I52" s="4"/>
      <c r="L52" s="24"/>
    </row>
    <row r="53" spans="1:12" x14ac:dyDescent="0.2">
      <c r="A53" s="4"/>
      <c r="B53" s="4" t="s">
        <v>209</v>
      </c>
      <c r="C53" s="4"/>
      <c r="D53" s="4"/>
      <c r="E53" s="4"/>
      <c r="F53" s="4"/>
      <c r="G53" s="4"/>
      <c r="H53" s="4"/>
      <c r="I53" s="4"/>
      <c r="L53" s="24"/>
    </row>
    <row r="54" spans="1:12" x14ac:dyDescent="0.2">
      <c r="A54" s="4"/>
      <c r="B54" s="4" t="s">
        <v>210</v>
      </c>
      <c r="C54" s="4"/>
      <c r="D54" s="4"/>
      <c r="E54" s="4"/>
      <c r="F54" s="4"/>
      <c r="G54" s="4"/>
      <c r="H54" s="4"/>
      <c r="I54" s="4"/>
      <c r="L54" s="24"/>
    </row>
    <row r="55" spans="1:12" x14ac:dyDescent="0.2">
      <c r="A55" s="4"/>
      <c r="B55" s="4"/>
      <c r="C55" s="4"/>
      <c r="D55" s="4"/>
      <c r="E55" s="4"/>
      <c r="F55" s="4"/>
      <c r="G55" s="4"/>
      <c r="H55" s="4"/>
      <c r="I55" s="4"/>
      <c r="L55" s="24"/>
    </row>
    <row r="56" spans="1:12" x14ac:dyDescent="0.2">
      <c r="A56" s="4"/>
      <c r="B56" s="4"/>
      <c r="C56" s="158" t="s">
        <v>211</v>
      </c>
      <c r="D56" s="30" t="s">
        <v>212</v>
      </c>
      <c r="E56" s="30" t="s">
        <v>213</v>
      </c>
      <c r="F56" s="30" t="s">
        <v>214</v>
      </c>
      <c r="G56" s="30" t="s">
        <v>215</v>
      </c>
      <c r="H56" s="30" t="s">
        <v>216</v>
      </c>
      <c r="I56" s="4"/>
      <c r="L56" s="24"/>
    </row>
    <row r="57" spans="1:12" x14ac:dyDescent="0.2">
      <c r="A57" s="4"/>
      <c r="B57" s="4"/>
      <c r="C57" s="78">
        <f t="shared" ref="C57:F57" si="0">C35*D57</f>
        <v>1.54667464875</v>
      </c>
      <c r="D57" s="78">
        <f>D35*E57</f>
        <v>1.473023475</v>
      </c>
      <c r="E57" s="78">
        <f t="shared" si="0"/>
        <v>1.3093542</v>
      </c>
      <c r="F57" s="78">
        <f t="shared" si="0"/>
        <v>1.114344</v>
      </c>
      <c r="G57" s="78">
        <f>G35*H57</f>
        <v>1.0130399999999999</v>
      </c>
      <c r="H57" s="66">
        <f>H35</f>
        <v>1.0049999999999999</v>
      </c>
      <c r="I57" s="4"/>
      <c r="L57" s="24"/>
    </row>
    <row r="58" spans="1:12" x14ac:dyDescent="0.2">
      <c r="A58" s="4"/>
      <c r="B58" s="4"/>
      <c r="C58" s="4"/>
      <c r="D58" s="4"/>
      <c r="E58" s="4"/>
      <c r="F58" s="4"/>
      <c r="G58" s="4"/>
      <c r="H58" s="4"/>
      <c r="I58" s="4"/>
      <c r="L58" s="24"/>
    </row>
    <row r="59" spans="1:12" x14ac:dyDescent="0.2">
      <c r="A59" s="4"/>
      <c r="B59" s="4" t="s">
        <v>217</v>
      </c>
      <c r="C59" s="4"/>
      <c r="D59" s="4"/>
      <c r="E59" s="4"/>
      <c r="F59" s="4"/>
      <c r="G59" s="4"/>
      <c r="H59" s="4"/>
      <c r="I59" s="4"/>
      <c r="L59" s="24"/>
    </row>
    <row r="60" spans="1:12" x14ac:dyDescent="0.2">
      <c r="A60" s="4"/>
      <c r="B60" s="4"/>
      <c r="C60" s="4"/>
      <c r="D60" s="4"/>
      <c r="E60" s="4"/>
      <c r="F60" s="4"/>
      <c r="G60" s="4"/>
      <c r="H60" s="4"/>
      <c r="I60" s="4"/>
      <c r="L60" s="24"/>
    </row>
    <row r="61" spans="1:12" x14ac:dyDescent="0.2">
      <c r="A61" s="22"/>
      <c r="B61" s="4"/>
      <c r="C61" s="37" t="s">
        <v>25</v>
      </c>
      <c r="D61" s="155">
        <v>44197</v>
      </c>
      <c r="E61" s="40"/>
      <c r="F61" s="4"/>
      <c r="G61" s="4"/>
      <c r="H61" s="4"/>
    </row>
    <row r="62" spans="1:12" x14ac:dyDescent="0.2">
      <c r="A62" s="4"/>
      <c r="B62" s="4"/>
      <c r="C62" s="50">
        <v>1</v>
      </c>
      <c r="D62" s="79">
        <f>MIN(E21*$E$57,E$12)</f>
        <v>0</v>
      </c>
      <c r="E62" s="4"/>
      <c r="F62" s="4"/>
      <c r="G62" s="4"/>
      <c r="H62" s="4"/>
    </row>
    <row r="63" spans="1:12" x14ac:dyDescent="0.2">
      <c r="A63" s="4"/>
      <c r="B63" s="4"/>
      <c r="C63" s="50">
        <v>2</v>
      </c>
      <c r="D63" s="79">
        <f>MIN(E22*$E$57,E$12)</f>
        <v>13093.541999999999</v>
      </c>
      <c r="E63" s="4"/>
      <c r="F63" s="4"/>
      <c r="G63" s="4"/>
      <c r="H63" s="4"/>
    </row>
    <row r="64" spans="1:12" x14ac:dyDescent="0.2">
      <c r="A64" s="4"/>
      <c r="B64" s="4"/>
      <c r="C64" s="50">
        <v>3</v>
      </c>
      <c r="D64" s="79">
        <f>MIN(E23*$E$57,E$12)</f>
        <v>98201.565000000002</v>
      </c>
      <c r="E64" s="4"/>
      <c r="F64" s="4"/>
      <c r="G64" s="4"/>
      <c r="H64" s="4"/>
    </row>
    <row r="65" spans="1:14" x14ac:dyDescent="0.2">
      <c r="A65" s="4"/>
      <c r="B65" s="4"/>
      <c r="C65" s="50">
        <v>4</v>
      </c>
      <c r="D65" s="79">
        <f t="shared" ref="D65:D71" si="1">MIN(E24*$E$57,E$12)</f>
        <v>32733.855</v>
      </c>
      <c r="E65" s="4"/>
      <c r="F65" s="4"/>
      <c r="G65" s="4"/>
      <c r="H65" s="4"/>
    </row>
    <row r="66" spans="1:14" x14ac:dyDescent="0.2">
      <c r="A66" s="4"/>
      <c r="B66" s="4"/>
      <c r="C66" s="50">
        <v>5</v>
      </c>
      <c r="D66" s="79">
        <f t="shared" si="1"/>
        <v>150000</v>
      </c>
      <c r="E66" s="4"/>
      <c r="F66" s="4"/>
      <c r="G66" s="4"/>
      <c r="H66" s="4"/>
    </row>
    <row r="67" spans="1:14" x14ac:dyDescent="0.2">
      <c r="A67" s="4"/>
      <c r="B67" s="4"/>
      <c r="C67" s="50">
        <v>6</v>
      </c>
      <c r="D67" s="79">
        <f t="shared" si="1"/>
        <v>0</v>
      </c>
      <c r="E67" s="4"/>
      <c r="F67" s="4"/>
      <c r="G67" s="4"/>
      <c r="H67" s="4"/>
    </row>
    <row r="68" spans="1:14" x14ac:dyDescent="0.2">
      <c r="A68" s="4"/>
      <c r="B68" s="4"/>
      <c r="C68" s="50">
        <v>7</v>
      </c>
      <c r="D68" s="79">
        <f t="shared" si="1"/>
        <v>9820.156500000001</v>
      </c>
      <c r="E68" s="4"/>
      <c r="F68" s="4"/>
      <c r="G68" s="4"/>
      <c r="H68" s="4"/>
    </row>
    <row r="69" spans="1:14" x14ac:dyDescent="0.2">
      <c r="A69" s="4"/>
      <c r="B69" s="4"/>
      <c r="C69" s="50">
        <v>8</v>
      </c>
      <c r="D69" s="79">
        <f t="shared" si="1"/>
        <v>65467.71</v>
      </c>
      <c r="E69" s="4"/>
      <c r="F69" s="4"/>
      <c r="G69" s="4"/>
      <c r="H69" s="4"/>
    </row>
    <row r="70" spans="1:14" x14ac:dyDescent="0.2">
      <c r="A70" s="4"/>
      <c r="B70" s="4"/>
      <c r="C70" s="50">
        <v>9</v>
      </c>
      <c r="D70" s="79">
        <f t="shared" si="1"/>
        <v>130935.42</v>
      </c>
      <c r="E70" s="4"/>
      <c r="F70" s="4"/>
      <c r="G70" s="4"/>
      <c r="H70" s="4"/>
    </row>
    <row r="71" spans="1:14" x14ac:dyDescent="0.2">
      <c r="A71" s="4"/>
      <c r="B71" s="4"/>
      <c r="C71" s="37">
        <v>10</v>
      </c>
      <c r="D71" s="156">
        <f t="shared" si="1"/>
        <v>104748.336</v>
      </c>
      <c r="E71" s="4"/>
      <c r="F71" s="4"/>
      <c r="G71" s="4"/>
      <c r="H71" s="4"/>
    </row>
    <row r="72" spans="1:14" x14ac:dyDescent="0.2">
      <c r="A72" s="22"/>
      <c r="B72" s="4"/>
      <c r="C72" s="143" t="s">
        <v>4</v>
      </c>
      <c r="D72" s="49">
        <f>MIN(SUM(D62:D71),E$13)</f>
        <v>600000</v>
      </c>
      <c r="E72" s="4"/>
      <c r="F72" s="4"/>
      <c r="G72" s="4"/>
      <c r="H72" s="4"/>
      <c r="I72" s="4"/>
    </row>
    <row r="73" spans="1:14" ht="17" thickBot="1" x14ac:dyDescent="0.25">
      <c r="A73" s="4"/>
      <c r="B73" s="4"/>
      <c r="C73" s="4"/>
      <c r="D73" s="4"/>
      <c r="E73" s="4"/>
      <c r="F73" s="4"/>
      <c r="G73" s="4"/>
      <c r="H73" s="4"/>
      <c r="I73" s="4"/>
      <c r="L73" s="4"/>
      <c r="M73" s="23"/>
      <c r="N73" s="4"/>
    </row>
    <row r="74" spans="1:14" ht="17" thickBot="1" x14ac:dyDescent="0.25">
      <c r="A74" s="4"/>
      <c r="B74" s="46" t="s">
        <v>89</v>
      </c>
      <c r="C74" s="80">
        <f>(E10+E11*D72)</f>
        <v>950000</v>
      </c>
      <c r="D74" s="4"/>
      <c r="E74" s="4"/>
      <c r="F74" s="4"/>
      <c r="G74" s="4"/>
      <c r="H74" s="4"/>
      <c r="I74" s="4"/>
      <c r="L74" s="24"/>
      <c r="M74" s="24"/>
      <c r="N74" s="24"/>
    </row>
    <row r="75" spans="1:14" x14ac:dyDescent="0.2">
      <c r="A75" s="4"/>
      <c r="B75" s="4"/>
      <c r="C75" s="4"/>
      <c r="D75" s="4"/>
      <c r="E75" s="4"/>
      <c r="F75" s="4"/>
      <c r="G75" s="4"/>
      <c r="H75" s="4"/>
      <c r="I75" s="4"/>
      <c r="L75" s="24"/>
      <c r="M75" s="24"/>
      <c r="N75" s="24"/>
    </row>
    <row r="76" spans="1:14" x14ac:dyDescent="0.2">
      <c r="A76" s="4"/>
      <c r="B76" s="4" t="s">
        <v>1</v>
      </c>
      <c r="C76" s="4"/>
      <c r="D76" s="4"/>
      <c r="E76" s="4"/>
      <c r="F76" s="4"/>
      <c r="G76" s="4"/>
      <c r="H76" s="4"/>
      <c r="I76" s="4"/>
      <c r="L76" s="24"/>
      <c r="M76" s="24"/>
      <c r="N76" s="24"/>
    </row>
    <row r="77" spans="1:14" x14ac:dyDescent="0.2">
      <c r="A77" s="4"/>
      <c r="B77" s="4" t="s">
        <v>218</v>
      </c>
      <c r="C77" s="4"/>
      <c r="D77" s="4"/>
      <c r="E77" s="4"/>
      <c r="F77" s="4"/>
      <c r="G77" s="4"/>
      <c r="H77" s="4"/>
      <c r="I77" s="4"/>
      <c r="L77" s="24"/>
      <c r="M77" s="24"/>
      <c r="N77" s="24"/>
    </row>
    <row r="78" spans="1:14" x14ac:dyDescent="0.2">
      <c r="A78" s="4"/>
      <c r="B78" s="4"/>
      <c r="C78" s="4"/>
      <c r="D78" s="4"/>
      <c r="E78" s="4"/>
      <c r="F78" s="4"/>
      <c r="G78" s="4"/>
      <c r="H78" s="4"/>
      <c r="I78" s="4"/>
      <c r="L78" s="24"/>
      <c r="M78" s="24"/>
      <c r="N78" s="24"/>
    </row>
    <row r="79" spans="1:14" x14ac:dyDescent="0.2">
      <c r="A79" s="4"/>
      <c r="B79" s="4"/>
      <c r="C79" s="37" t="s">
        <v>25</v>
      </c>
      <c r="D79" s="155">
        <v>44562</v>
      </c>
      <c r="E79" s="4"/>
      <c r="F79" s="4"/>
      <c r="G79" s="4"/>
      <c r="H79" s="4"/>
      <c r="I79" s="4"/>
      <c r="L79" s="24"/>
      <c r="M79" s="24"/>
      <c r="N79" s="24"/>
    </row>
    <row r="80" spans="1:14" x14ac:dyDescent="0.2">
      <c r="A80" s="4"/>
      <c r="B80" s="4"/>
      <c r="C80" s="50">
        <v>1</v>
      </c>
      <c r="D80" s="79">
        <f>MIN(G21*$G$57,E$12)</f>
        <v>0</v>
      </c>
      <c r="E80" s="4"/>
      <c r="F80" s="4"/>
      <c r="G80" s="4"/>
      <c r="H80" s="4"/>
      <c r="I80" s="4"/>
      <c r="L80" s="24"/>
      <c r="M80" s="24"/>
      <c r="N80" s="24"/>
    </row>
    <row r="81" spans="1:14" x14ac:dyDescent="0.2">
      <c r="A81" s="4"/>
      <c r="B81" s="4"/>
      <c r="C81" s="50">
        <v>2</v>
      </c>
      <c r="D81" s="79">
        <f t="shared" ref="D81:D89" si="2">MIN(G22*$G$57,E$12)</f>
        <v>15195.599999999999</v>
      </c>
      <c r="E81" s="4"/>
      <c r="F81" s="4"/>
      <c r="G81" s="4"/>
      <c r="H81" s="4"/>
      <c r="I81" s="4"/>
      <c r="L81" s="24"/>
      <c r="M81" s="24"/>
      <c r="N81" s="24"/>
    </row>
    <row r="82" spans="1:14" x14ac:dyDescent="0.2">
      <c r="A82" s="4"/>
      <c r="B82" s="4"/>
      <c r="C82" s="50">
        <v>3</v>
      </c>
      <c r="D82" s="79">
        <f t="shared" si="2"/>
        <v>101304</v>
      </c>
      <c r="E82" s="4"/>
      <c r="F82" s="4"/>
      <c r="G82" s="4"/>
      <c r="H82" s="4"/>
      <c r="I82" s="4"/>
      <c r="L82" s="24"/>
      <c r="M82" s="24"/>
      <c r="N82" s="24"/>
    </row>
    <row r="83" spans="1:14" x14ac:dyDescent="0.2">
      <c r="A83" s="4"/>
      <c r="B83" s="4"/>
      <c r="C83" s="50">
        <v>4</v>
      </c>
      <c r="D83" s="79">
        <f t="shared" si="2"/>
        <v>25326</v>
      </c>
      <c r="E83" s="4"/>
      <c r="F83" s="4"/>
      <c r="G83" s="4"/>
      <c r="H83" s="4"/>
      <c r="I83" s="4"/>
      <c r="L83" s="4"/>
      <c r="M83" s="23"/>
      <c r="N83" s="4"/>
    </row>
    <row r="84" spans="1:14" x14ac:dyDescent="0.2">
      <c r="A84" s="4"/>
      <c r="B84" s="4"/>
      <c r="C84" s="50">
        <v>5</v>
      </c>
      <c r="D84" s="79">
        <f t="shared" si="2"/>
        <v>150000</v>
      </c>
      <c r="E84" s="4"/>
      <c r="F84" s="4"/>
      <c r="G84" s="4"/>
      <c r="H84" s="4"/>
      <c r="I84" s="4"/>
      <c r="L84" s="24"/>
      <c r="M84" s="24"/>
      <c r="N84" s="24"/>
    </row>
    <row r="85" spans="1:14" x14ac:dyDescent="0.2">
      <c r="A85" s="4"/>
      <c r="B85" s="4"/>
      <c r="C85" s="50">
        <v>6</v>
      </c>
      <c r="D85" s="79">
        <f t="shared" si="2"/>
        <v>50652</v>
      </c>
      <c r="E85" s="4"/>
      <c r="F85" s="4"/>
      <c r="G85" s="4"/>
      <c r="H85" s="4"/>
      <c r="I85" s="4"/>
      <c r="L85" s="24"/>
      <c r="M85" s="24"/>
      <c r="N85" s="24"/>
    </row>
    <row r="86" spans="1:14" x14ac:dyDescent="0.2">
      <c r="A86" s="4"/>
      <c r="B86" s="4"/>
      <c r="C86" s="50">
        <v>7</v>
      </c>
      <c r="D86" s="79">
        <f t="shared" si="2"/>
        <v>5065.2</v>
      </c>
      <c r="E86" s="4"/>
      <c r="F86" s="4"/>
      <c r="G86" s="4"/>
      <c r="H86" s="4"/>
      <c r="I86" s="4"/>
      <c r="L86" s="24"/>
      <c r="M86" s="24"/>
      <c r="N86" s="24"/>
    </row>
    <row r="87" spans="1:14" x14ac:dyDescent="0.2">
      <c r="A87" s="4"/>
      <c r="B87" s="4"/>
      <c r="C87" s="50">
        <v>8</v>
      </c>
      <c r="D87" s="79">
        <f t="shared" si="2"/>
        <v>30391.199999999997</v>
      </c>
      <c r="E87" s="4"/>
      <c r="F87" s="4"/>
      <c r="G87" s="4"/>
      <c r="H87" s="4"/>
      <c r="I87" s="4"/>
      <c r="L87" s="24"/>
      <c r="M87" s="24"/>
      <c r="N87" s="24"/>
    </row>
    <row r="88" spans="1:14" x14ac:dyDescent="0.2">
      <c r="A88" s="4"/>
      <c r="B88" s="4"/>
      <c r="C88" s="50">
        <v>9</v>
      </c>
      <c r="D88" s="79">
        <f t="shared" si="2"/>
        <v>150000</v>
      </c>
      <c r="E88" s="4"/>
      <c r="F88" s="4"/>
      <c r="G88" s="4"/>
      <c r="H88" s="4"/>
      <c r="I88" s="4"/>
      <c r="L88" s="24"/>
      <c r="M88" s="24"/>
      <c r="N88" s="24"/>
    </row>
    <row r="89" spans="1:14" x14ac:dyDescent="0.2">
      <c r="A89" s="4"/>
      <c r="B89" s="4"/>
      <c r="C89" s="37">
        <v>10</v>
      </c>
      <c r="D89" s="156">
        <f t="shared" si="2"/>
        <v>40521.599999999999</v>
      </c>
      <c r="E89" s="4"/>
      <c r="F89" s="4"/>
      <c r="G89" s="4"/>
      <c r="H89" s="4"/>
      <c r="I89" s="4"/>
      <c r="L89" s="24"/>
      <c r="M89" s="24"/>
      <c r="N89" s="24"/>
    </row>
    <row r="90" spans="1:14" x14ac:dyDescent="0.2">
      <c r="A90" s="4"/>
      <c r="B90" s="4"/>
      <c r="C90" s="143" t="s">
        <v>4</v>
      </c>
      <c r="D90" s="49">
        <f>MIN(SUM(D80:D89),E$13)</f>
        <v>568455.6</v>
      </c>
      <c r="E90" s="4"/>
      <c r="F90" s="4"/>
      <c r="G90" s="4"/>
      <c r="H90" s="4"/>
      <c r="I90" s="4"/>
      <c r="L90" s="24"/>
      <c r="M90" s="24"/>
      <c r="N90" s="24"/>
    </row>
    <row r="91" spans="1:14" ht="17" thickBot="1" x14ac:dyDescent="0.25">
      <c r="A91" s="4"/>
      <c r="B91" s="4"/>
      <c r="C91" s="4"/>
      <c r="D91" s="4"/>
      <c r="E91" s="4"/>
      <c r="F91" s="4"/>
      <c r="G91" s="4"/>
      <c r="H91" s="4"/>
      <c r="I91" s="4"/>
      <c r="L91" s="24"/>
      <c r="M91" s="24"/>
      <c r="N91" s="24"/>
    </row>
    <row r="92" spans="1:14" ht="17" thickBot="1" x14ac:dyDescent="0.25">
      <c r="A92" s="4"/>
      <c r="B92" s="46" t="s">
        <v>89</v>
      </c>
      <c r="C92" s="80">
        <f>(E10+E11*D90)</f>
        <v>910569.5</v>
      </c>
      <c r="D92" s="4"/>
      <c r="E92" s="4"/>
      <c r="F92" s="4"/>
      <c r="G92" s="4"/>
      <c r="H92" s="4"/>
      <c r="I92" s="4"/>
      <c r="L92" s="24"/>
      <c r="M92" s="24"/>
      <c r="N92" s="24"/>
    </row>
    <row r="93" spans="1:14" x14ac:dyDescent="0.2">
      <c r="A93" s="4"/>
      <c r="B93" s="4"/>
      <c r="C93" s="4"/>
      <c r="D93" s="4"/>
      <c r="E93" s="4"/>
      <c r="F93" s="4"/>
      <c r="G93" s="4"/>
      <c r="H93" s="4"/>
      <c r="I93" s="4"/>
      <c r="L93" s="4"/>
      <c r="M93" s="23"/>
      <c r="N93" s="4"/>
    </row>
    <row r="94" spans="1:14" x14ac:dyDescent="0.2">
      <c r="A94" s="4"/>
      <c r="B94" s="4" t="s">
        <v>2</v>
      </c>
      <c r="C94" s="4"/>
      <c r="D94" s="4"/>
      <c r="E94" s="4"/>
      <c r="F94" s="4"/>
      <c r="G94" s="4"/>
      <c r="H94" s="4"/>
      <c r="I94" s="4"/>
      <c r="L94" s="24"/>
      <c r="M94" s="24"/>
      <c r="N94" s="24"/>
    </row>
    <row r="95" spans="1:14" x14ac:dyDescent="0.2">
      <c r="A95" s="4"/>
      <c r="B95" s="4" t="s">
        <v>240</v>
      </c>
      <c r="C95" s="4"/>
      <c r="D95" s="4"/>
      <c r="E95" s="4"/>
      <c r="F95" s="4"/>
      <c r="G95" s="4"/>
      <c r="H95" s="4"/>
      <c r="I95" s="4"/>
      <c r="L95" s="24"/>
      <c r="M95" s="24"/>
      <c r="N95" s="24"/>
    </row>
    <row r="96" spans="1:14" x14ac:dyDescent="0.2">
      <c r="A96" s="4"/>
      <c r="B96" s="4"/>
      <c r="C96" s="4"/>
      <c r="D96" s="4"/>
      <c r="E96" s="4"/>
      <c r="F96" s="4"/>
      <c r="G96" s="4"/>
      <c r="H96" s="4"/>
      <c r="I96" s="4"/>
      <c r="L96" s="24"/>
      <c r="M96" s="24"/>
      <c r="N96" s="24"/>
    </row>
    <row r="97" spans="1:14" x14ac:dyDescent="0.2">
      <c r="A97" s="4"/>
      <c r="B97" s="36" t="s">
        <v>221</v>
      </c>
      <c r="C97" s="4"/>
      <c r="D97" s="4"/>
      <c r="E97" s="4"/>
      <c r="F97" s="4"/>
      <c r="G97" s="4"/>
      <c r="H97" s="4"/>
      <c r="I97" s="4"/>
      <c r="L97" s="24"/>
      <c r="M97" s="24"/>
      <c r="N97" s="24"/>
    </row>
    <row r="98" spans="1:14" x14ac:dyDescent="0.2">
      <c r="A98" s="4"/>
      <c r="B98" s="36" t="s">
        <v>222</v>
      </c>
      <c r="C98" s="4"/>
      <c r="D98" s="4"/>
      <c r="E98" s="4"/>
      <c r="F98" s="4"/>
      <c r="G98" s="4"/>
      <c r="H98" s="4"/>
      <c r="I98" s="4"/>
      <c r="L98" s="24"/>
      <c r="M98" s="24"/>
      <c r="N98" s="24"/>
    </row>
    <row r="99" spans="1:14" x14ac:dyDescent="0.2">
      <c r="A99" s="4"/>
      <c r="B99" s="36" t="s">
        <v>223</v>
      </c>
      <c r="C99" s="4"/>
      <c r="D99" s="4"/>
      <c r="E99" s="4"/>
      <c r="F99" s="4"/>
      <c r="G99" s="4"/>
      <c r="H99" s="4"/>
      <c r="I99" s="4"/>
      <c r="L99" s="24"/>
      <c r="M99" s="24"/>
      <c r="N99" s="24"/>
    </row>
    <row r="100" spans="1:14" x14ac:dyDescent="0.2">
      <c r="A100" s="4"/>
      <c r="B100" s="36" t="s">
        <v>224</v>
      </c>
      <c r="C100" s="4"/>
      <c r="D100" s="4"/>
      <c r="E100" s="4"/>
      <c r="F100" s="4"/>
      <c r="G100" s="4"/>
      <c r="H100" s="4"/>
      <c r="I100" s="4"/>
      <c r="L100" s="24"/>
      <c r="M100" s="24"/>
      <c r="N100" s="24"/>
    </row>
    <row r="101" spans="1:14" x14ac:dyDescent="0.2">
      <c r="A101" s="4"/>
      <c r="B101" s="36" t="s">
        <v>225</v>
      </c>
      <c r="C101" s="4"/>
      <c r="D101" s="4"/>
      <c r="E101" s="4"/>
      <c r="F101" s="4"/>
      <c r="G101" s="4"/>
      <c r="H101" s="4"/>
      <c r="I101" s="4"/>
      <c r="L101" s="24"/>
      <c r="M101" s="24"/>
      <c r="N101" s="24"/>
    </row>
    <row r="102" spans="1:14" x14ac:dyDescent="0.2">
      <c r="A102" s="4"/>
      <c r="B102" s="4"/>
      <c r="C102" s="4"/>
      <c r="D102" s="4"/>
      <c r="E102" s="4"/>
      <c r="F102" s="4"/>
      <c r="G102" s="4"/>
      <c r="H102" s="4"/>
      <c r="I102" s="4"/>
      <c r="L102" s="24"/>
      <c r="M102" s="24"/>
      <c r="N102" s="24"/>
    </row>
    <row r="103" spans="1:14" x14ac:dyDescent="0.2">
      <c r="A103" s="4"/>
      <c r="B103" s="4" t="s">
        <v>226</v>
      </c>
      <c r="C103" s="4"/>
      <c r="D103" s="4"/>
      <c r="E103" s="4"/>
      <c r="F103" s="4"/>
      <c r="G103" s="4"/>
      <c r="H103" s="4"/>
      <c r="I103" s="4"/>
      <c r="L103" s="4"/>
      <c r="M103" s="23"/>
      <c r="N103" s="4"/>
    </row>
    <row r="104" spans="1:14" x14ac:dyDescent="0.2">
      <c r="A104" s="4"/>
      <c r="B104" s="4" t="s">
        <v>227</v>
      </c>
      <c r="C104" s="4"/>
      <c r="D104" s="4"/>
      <c r="E104" s="4"/>
      <c r="F104" s="4"/>
      <c r="G104" s="4"/>
      <c r="H104" s="4"/>
      <c r="I104" s="4"/>
      <c r="L104" s="24"/>
      <c r="M104" s="24"/>
      <c r="N104" s="24"/>
    </row>
    <row r="105" spans="1:14" x14ac:dyDescent="0.2">
      <c r="A105" s="4"/>
      <c r="B105" s="4" t="s">
        <v>228</v>
      </c>
      <c r="C105" s="4"/>
      <c r="D105" s="4"/>
      <c r="E105" s="4"/>
      <c r="F105" s="4"/>
      <c r="G105" s="4"/>
      <c r="H105" s="4"/>
      <c r="I105" s="4"/>
      <c r="L105" s="24"/>
      <c r="M105" s="24"/>
      <c r="N105" s="24"/>
    </row>
    <row r="106" spans="1:14" x14ac:dyDescent="0.2">
      <c r="A106" s="4"/>
      <c r="B106" s="4" t="s">
        <v>229</v>
      </c>
      <c r="C106" s="4"/>
      <c r="D106" s="4"/>
      <c r="E106" s="4"/>
      <c r="F106" s="4"/>
      <c r="G106" s="4"/>
      <c r="H106" s="4"/>
      <c r="I106" s="4"/>
      <c r="L106" s="24"/>
      <c r="M106" s="24"/>
      <c r="N106" s="24"/>
    </row>
    <row r="107" spans="1:14" x14ac:dyDescent="0.2">
      <c r="A107" s="4"/>
      <c r="B107" s="4" t="s">
        <v>230</v>
      </c>
      <c r="C107" s="4"/>
      <c r="D107" s="4"/>
      <c r="E107" s="4"/>
      <c r="F107" s="4"/>
      <c r="G107" s="4"/>
      <c r="H107" s="4"/>
      <c r="I107" s="4"/>
      <c r="L107" s="24"/>
      <c r="M107" s="24"/>
      <c r="N107" s="24"/>
    </row>
    <row r="108" spans="1:14" x14ac:dyDescent="0.2">
      <c r="A108" s="4"/>
      <c r="B108" s="4" t="s">
        <v>231</v>
      </c>
      <c r="C108" s="4"/>
      <c r="D108" s="4"/>
      <c r="E108" s="4"/>
      <c r="F108" s="4"/>
      <c r="G108" s="4"/>
      <c r="H108" s="4"/>
      <c r="I108" s="4"/>
      <c r="L108" s="24"/>
      <c r="M108" s="24"/>
      <c r="N108" s="24"/>
    </row>
    <row r="109" spans="1:14" x14ac:dyDescent="0.2">
      <c r="A109" s="4"/>
      <c r="B109" s="4" t="s">
        <v>232</v>
      </c>
      <c r="C109" s="4"/>
      <c r="D109" s="4"/>
      <c r="E109" s="4"/>
      <c r="F109" s="4"/>
      <c r="G109" s="4"/>
      <c r="H109" s="4"/>
      <c r="I109" s="4"/>
      <c r="L109" s="24"/>
      <c r="M109" s="24"/>
      <c r="N109" s="24"/>
    </row>
    <row r="110" spans="1:14" x14ac:dyDescent="0.2">
      <c r="A110" s="4"/>
      <c r="B110" s="4" t="s">
        <v>233</v>
      </c>
      <c r="C110" s="4"/>
      <c r="D110" s="4"/>
      <c r="E110" s="4"/>
      <c r="F110" s="4"/>
      <c r="G110" s="4"/>
      <c r="H110" s="4"/>
      <c r="I110" s="4"/>
      <c r="L110" s="24"/>
      <c r="M110" s="24"/>
      <c r="N110" s="24"/>
    </row>
    <row r="111" spans="1:14" x14ac:dyDescent="0.2">
      <c r="A111" s="4"/>
      <c r="B111" s="4"/>
      <c r="C111" s="4"/>
      <c r="D111" s="4"/>
      <c r="E111" s="4"/>
      <c r="F111" s="4"/>
      <c r="G111" s="4"/>
      <c r="H111" s="4"/>
      <c r="I111" s="4"/>
      <c r="L111" s="24"/>
      <c r="M111" s="24"/>
      <c r="N111" s="24"/>
    </row>
    <row r="112" spans="1:14" ht="19" x14ac:dyDescent="0.25">
      <c r="A112" s="21" t="s">
        <v>5</v>
      </c>
      <c r="B112" s="4"/>
      <c r="C112" s="4"/>
      <c r="D112" s="4"/>
      <c r="E112" s="4"/>
      <c r="F112" s="4"/>
      <c r="G112" s="4"/>
      <c r="H112" s="4"/>
      <c r="I112" s="4"/>
      <c r="L112" s="24"/>
      <c r="M112" s="24"/>
      <c r="N112" s="24"/>
    </row>
    <row r="113" spans="1:65" x14ac:dyDescent="0.2">
      <c r="A113" s="4" t="s">
        <v>442</v>
      </c>
      <c r="B113" s="4"/>
      <c r="C113" s="4"/>
      <c r="D113" s="4"/>
      <c r="E113" s="4"/>
      <c r="F113" s="4"/>
      <c r="G113" s="4"/>
      <c r="H113" s="4"/>
      <c r="I113" s="4"/>
      <c r="L113" s="4"/>
      <c r="M113" s="23"/>
      <c r="N113" s="4"/>
    </row>
    <row r="114" spans="1:65" x14ac:dyDescent="0.2">
      <c r="A114" s="4" t="s">
        <v>234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</row>
    <row r="115" spans="1:65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</row>
    <row r="116" spans="1:65" x14ac:dyDescent="0.2">
      <c r="A116" s="4" t="s">
        <v>235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</row>
    <row r="117" spans="1:65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</row>
    <row r="118" spans="1:65" x14ac:dyDescent="0.2">
      <c r="A118" s="4" t="s">
        <v>236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</row>
    <row r="119" spans="1:65" x14ac:dyDescent="0.2">
      <c r="A119" s="4" t="s">
        <v>237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</row>
    <row r="120" spans="1:65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</row>
    <row r="121" spans="1:65" ht="19" x14ac:dyDescent="0.25">
      <c r="A121" s="21" t="s">
        <v>6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</row>
    <row r="122" spans="1:65" x14ac:dyDescent="0.2">
      <c r="A122" s="4" t="s">
        <v>261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</row>
    <row r="123" spans="1:65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</row>
    <row r="124" spans="1:65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</row>
    <row r="125" spans="1:65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</row>
    <row r="126" spans="1:65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</row>
    <row r="127" spans="1:65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</row>
    <row r="128" spans="1:65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</row>
    <row r="129" spans="1:65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</row>
    <row r="130" spans="1:65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</row>
    <row r="131" spans="1:65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</row>
    <row r="132" spans="1:65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</row>
    <row r="133" spans="1:65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</row>
    <row r="134" spans="1:65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</row>
    <row r="135" spans="1:65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</row>
    <row r="136" spans="1:65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</row>
    <row r="137" spans="1:65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</row>
    <row r="138" spans="1:65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</row>
    <row r="139" spans="1:65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</row>
    <row r="140" spans="1:65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</row>
    <row r="141" spans="1:65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</row>
    <row r="142" spans="1:65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</row>
    <row r="143" spans="1:65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</row>
    <row r="144" spans="1:65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</row>
    <row r="145" spans="1:65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</row>
    <row r="146" spans="1:65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</row>
    <row r="147" spans="1:65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</row>
    <row r="148" spans="1:65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</row>
    <row r="149" spans="1:65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</row>
    <row r="150" spans="1:65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</row>
    <row r="151" spans="1:65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</row>
    <row r="152" spans="1:65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</row>
    <row r="153" spans="1:65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</row>
    <row r="154" spans="1:65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</row>
    <row r="155" spans="1:65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</row>
    <row r="156" spans="1:65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</row>
    <row r="157" spans="1:65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</row>
    <row r="158" spans="1:65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</row>
    <row r="159" spans="1:65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</row>
    <row r="160" spans="1:65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</row>
    <row r="161" spans="1:65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</row>
    <row r="162" spans="1:65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</row>
    <row r="163" spans="1:65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</row>
    <row r="164" spans="1:65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</row>
    <row r="165" spans="1:65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</row>
    <row r="166" spans="1:65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</row>
    <row r="167" spans="1:65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</row>
    <row r="168" spans="1:65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</row>
    <row r="169" spans="1:65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</row>
    <row r="170" spans="1:65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</row>
    <row r="171" spans="1:65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</row>
    <row r="172" spans="1:65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</row>
    <row r="173" spans="1:65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</row>
    <row r="174" spans="1:65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</row>
    <row r="175" spans="1:65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</row>
    <row r="176" spans="1:65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</row>
    <row r="177" spans="1:65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</row>
    <row r="178" spans="1:65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</row>
    <row r="179" spans="1:65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</row>
    <row r="180" spans="1:65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</row>
    <row r="181" spans="1:65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</row>
    <row r="182" spans="1:65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</row>
    <row r="183" spans="1:65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</row>
    <row r="184" spans="1:65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</row>
    <row r="185" spans="1:65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</row>
    <row r="186" spans="1:65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</row>
    <row r="187" spans="1:65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</row>
    <row r="188" spans="1:65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</row>
    <row r="189" spans="1:65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</row>
    <row r="190" spans="1:65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</row>
    <row r="191" spans="1:65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</row>
    <row r="192" spans="1:65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</row>
    <row r="193" spans="1:65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</row>
    <row r="194" spans="1:65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</row>
    <row r="195" spans="1:65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</row>
    <row r="196" spans="1:65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</row>
    <row r="197" spans="1:65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</row>
    <row r="198" spans="1:65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</row>
    <row r="199" spans="1:65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</row>
    <row r="200" spans="1:65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</row>
    <row r="201" spans="1:65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</row>
    <row r="202" spans="1:65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</row>
    <row r="203" spans="1:65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</row>
    <row r="204" spans="1:65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</row>
    <row r="205" spans="1:65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</row>
    <row r="206" spans="1:65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</row>
    <row r="207" spans="1:65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</row>
    <row r="208" spans="1:65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</row>
    <row r="209" spans="1:65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</row>
    <row r="210" spans="1:65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</row>
    <row r="211" spans="1:65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</row>
    <row r="212" spans="1:65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</row>
    <row r="213" spans="1:65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</row>
    <row r="214" spans="1:65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</row>
    <row r="215" spans="1:65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</row>
  </sheetData>
  <mergeCells count="1">
    <mergeCell ref="D19:I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A8579-CC16-1F4F-A15C-FBE5D1F9EC31}">
  <dimension ref="A1:BM202"/>
  <sheetViews>
    <sheetView showGridLines="0" zoomScale="120" zoomScaleNormal="120" workbookViewId="0"/>
  </sheetViews>
  <sheetFormatPr baseColWidth="10" defaultRowHeight="16" x14ac:dyDescent="0.2"/>
  <cols>
    <col min="1" max="2" width="10.83203125" style="18"/>
    <col min="3" max="3" width="11.5" style="18" customWidth="1"/>
    <col min="4" max="16384" width="10.83203125" style="18"/>
  </cols>
  <sheetData>
    <row r="1" spans="1:10" ht="19" x14ac:dyDescent="0.25">
      <c r="A1" s="16" t="s">
        <v>238</v>
      </c>
      <c r="B1" s="17"/>
      <c r="C1" s="17"/>
      <c r="D1" s="17"/>
      <c r="E1" s="17"/>
      <c r="F1" s="17"/>
      <c r="G1" s="17"/>
      <c r="H1" s="17"/>
      <c r="I1" s="17"/>
      <c r="J1" s="1"/>
    </row>
    <row r="2" spans="1:10" x14ac:dyDescent="0.2">
      <c r="A2" s="19"/>
      <c r="B2" s="17"/>
      <c r="C2" s="17"/>
      <c r="D2" s="17"/>
      <c r="E2" s="17"/>
      <c r="F2" s="17"/>
      <c r="G2" s="17"/>
      <c r="H2" s="17"/>
      <c r="I2" s="17"/>
      <c r="J2" s="1"/>
    </row>
    <row r="3" spans="1:10" ht="19" x14ac:dyDescent="0.25">
      <c r="A3" s="19"/>
      <c r="B3" s="136" t="s">
        <v>8</v>
      </c>
      <c r="C3" s="17"/>
      <c r="D3" s="17"/>
      <c r="E3" s="17"/>
      <c r="F3" s="17"/>
      <c r="G3" s="17"/>
      <c r="H3" s="17"/>
      <c r="I3" s="17"/>
      <c r="J3" s="1"/>
    </row>
    <row r="4" spans="1:10" x14ac:dyDescent="0.2">
      <c r="A4" s="19"/>
      <c r="B4" s="17" t="s">
        <v>242</v>
      </c>
      <c r="C4" s="17"/>
      <c r="D4" s="17"/>
      <c r="E4" s="17"/>
      <c r="F4" s="17"/>
      <c r="G4" s="17"/>
      <c r="H4" s="17"/>
      <c r="I4" s="17"/>
      <c r="J4" s="1"/>
    </row>
    <row r="5" spans="1:10" x14ac:dyDescent="0.2">
      <c r="A5" s="19"/>
      <c r="B5" s="17" t="s">
        <v>189</v>
      </c>
      <c r="C5" s="17"/>
      <c r="D5" s="17"/>
      <c r="E5" s="17"/>
      <c r="F5" s="17"/>
      <c r="G5" s="17"/>
      <c r="H5" s="17"/>
      <c r="I5" s="17"/>
      <c r="J5" s="1"/>
    </row>
    <row r="6" spans="1:10" x14ac:dyDescent="0.2">
      <c r="A6" s="19"/>
      <c r="B6" s="17" t="s">
        <v>190</v>
      </c>
      <c r="C6" s="17"/>
      <c r="D6" s="17"/>
      <c r="E6" s="17"/>
      <c r="F6" s="17"/>
      <c r="G6" s="17"/>
      <c r="H6" s="17"/>
      <c r="I6" s="17"/>
      <c r="J6" s="1"/>
    </row>
    <row r="7" spans="1:10" x14ac:dyDescent="0.2">
      <c r="A7" s="19"/>
      <c r="B7" s="17"/>
      <c r="C7" s="17"/>
      <c r="D7" s="17"/>
      <c r="E7" s="17"/>
      <c r="F7" s="17"/>
      <c r="G7" s="17"/>
      <c r="H7" s="17"/>
      <c r="I7" s="17"/>
      <c r="J7" s="1"/>
    </row>
    <row r="8" spans="1:10" x14ac:dyDescent="0.2">
      <c r="A8" s="19"/>
      <c r="B8" s="17" t="s">
        <v>191</v>
      </c>
      <c r="C8" s="17"/>
      <c r="D8" s="17"/>
      <c r="E8" s="17"/>
      <c r="F8" s="17"/>
      <c r="G8" s="17"/>
      <c r="H8" s="17"/>
      <c r="I8" s="17"/>
      <c r="J8" s="1"/>
    </row>
    <row r="9" spans="1:10" x14ac:dyDescent="0.2">
      <c r="A9" s="19"/>
      <c r="B9" s="17"/>
      <c r="C9" s="17"/>
      <c r="D9" s="17"/>
      <c r="E9" s="17"/>
      <c r="F9" s="17"/>
      <c r="G9" s="17"/>
      <c r="H9" s="17"/>
      <c r="I9" s="17"/>
      <c r="J9" s="1"/>
    </row>
    <row r="10" spans="1:10" x14ac:dyDescent="0.2">
      <c r="A10" s="19"/>
      <c r="B10" s="17"/>
      <c r="C10" s="17"/>
      <c r="D10" s="185" t="s">
        <v>451</v>
      </c>
      <c r="E10" s="82">
        <v>1.2</v>
      </c>
      <c r="F10" s="17"/>
      <c r="G10" s="17"/>
      <c r="H10" s="17"/>
      <c r="I10" s="17"/>
      <c r="J10" s="1"/>
    </row>
    <row r="11" spans="1:10" x14ac:dyDescent="0.2">
      <c r="A11" s="19"/>
      <c r="B11" s="17"/>
      <c r="C11" s="17"/>
      <c r="D11" s="27" t="s">
        <v>194</v>
      </c>
      <c r="E11" s="33">
        <v>200000</v>
      </c>
      <c r="F11" s="17"/>
      <c r="G11" s="17"/>
      <c r="H11" s="17"/>
      <c r="I11" s="17"/>
      <c r="J11" s="1"/>
    </row>
    <row r="12" spans="1:10" x14ac:dyDescent="0.2">
      <c r="A12" s="19"/>
      <c r="B12" s="17"/>
      <c r="C12" s="17"/>
      <c r="D12" s="27" t="s">
        <v>195</v>
      </c>
      <c r="E12" s="33">
        <v>1000000</v>
      </c>
      <c r="F12" s="17"/>
      <c r="G12" s="17"/>
      <c r="H12" s="17"/>
      <c r="I12" s="17"/>
      <c r="J12" s="1"/>
    </row>
    <row r="13" spans="1:10" x14ac:dyDescent="0.2">
      <c r="A13" s="19"/>
      <c r="B13" s="17"/>
      <c r="C13" s="17"/>
      <c r="D13" s="27" t="s">
        <v>244</v>
      </c>
      <c r="E13" s="65">
        <v>0.1</v>
      </c>
      <c r="F13" s="17"/>
      <c r="G13" s="17"/>
      <c r="H13" s="17"/>
      <c r="I13" s="17"/>
      <c r="J13" s="1"/>
    </row>
    <row r="14" spans="1:10" x14ac:dyDescent="0.2">
      <c r="A14" s="19"/>
      <c r="B14" s="17"/>
      <c r="C14" s="17"/>
      <c r="D14" s="27" t="s">
        <v>245</v>
      </c>
      <c r="E14" s="65">
        <v>0.05</v>
      </c>
      <c r="F14" s="17"/>
      <c r="G14" s="17"/>
      <c r="H14" s="17"/>
      <c r="I14" s="17"/>
      <c r="J14" s="1"/>
    </row>
    <row r="15" spans="1:10" x14ac:dyDescent="0.2">
      <c r="A15" s="19"/>
      <c r="B15" s="17"/>
      <c r="C15" s="17"/>
      <c r="D15" s="17"/>
      <c r="E15" s="17"/>
      <c r="F15" s="17"/>
      <c r="G15" s="17"/>
      <c r="H15" s="17"/>
      <c r="I15" s="17"/>
      <c r="J15" s="1"/>
    </row>
    <row r="16" spans="1:10" x14ac:dyDescent="0.2">
      <c r="A16" s="19"/>
      <c r="B16" s="17" t="s">
        <v>196</v>
      </c>
      <c r="C16" s="17"/>
      <c r="D16" s="17"/>
      <c r="E16" s="17"/>
      <c r="F16" s="17"/>
      <c r="G16" s="17"/>
      <c r="H16" s="17"/>
      <c r="I16" s="17"/>
      <c r="J16" s="1"/>
    </row>
    <row r="17" spans="1:10" x14ac:dyDescent="0.2">
      <c r="A17" s="19"/>
      <c r="B17" s="17"/>
      <c r="C17" s="17"/>
      <c r="D17" s="17"/>
      <c r="E17" s="17"/>
      <c r="F17" s="17"/>
      <c r="G17" s="17"/>
      <c r="H17" s="17"/>
      <c r="I17" s="17"/>
      <c r="J17" s="1"/>
    </row>
    <row r="18" spans="1:10" x14ac:dyDescent="0.2">
      <c r="A18" s="19"/>
      <c r="B18" s="17"/>
      <c r="C18" s="51"/>
      <c r="D18" s="209" t="s">
        <v>197</v>
      </c>
      <c r="E18" s="209"/>
      <c r="F18" s="209"/>
      <c r="G18" s="209"/>
      <c r="H18" s="88"/>
      <c r="I18" s="88"/>
      <c r="J18" s="1"/>
    </row>
    <row r="19" spans="1:10" x14ac:dyDescent="0.2">
      <c r="A19" s="19"/>
      <c r="B19" s="17"/>
      <c r="C19" s="3" t="s">
        <v>25</v>
      </c>
      <c r="D19" s="154">
        <v>43556</v>
      </c>
      <c r="E19" s="154">
        <v>43739</v>
      </c>
      <c r="F19" s="154">
        <v>43922</v>
      </c>
      <c r="G19" s="154">
        <v>44105</v>
      </c>
      <c r="H19" s="87"/>
      <c r="I19" s="87"/>
      <c r="J19" s="1"/>
    </row>
    <row r="20" spans="1:10" x14ac:dyDescent="0.2">
      <c r="A20" s="19"/>
      <c r="B20" s="17"/>
      <c r="C20" s="2">
        <v>1</v>
      </c>
      <c r="D20" s="33">
        <v>0</v>
      </c>
      <c r="E20" s="33">
        <v>0</v>
      </c>
      <c r="F20" s="33">
        <v>0</v>
      </c>
      <c r="G20" s="33">
        <v>25000</v>
      </c>
      <c r="H20" s="25"/>
      <c r="I20" s="25"/>
      <c r="J20" s="1"/>
    </row>
    <row r="21" spans="1:10" x14ac:dyDescent="0.2">
      <c r="A21" s="19"/>
      <c r="B21" s="17"/>
      <c r="C21" s="2">
        <v>2</v>
      </c>
      <c r="D21" s="33">
        <v>10000</v>
      </c>
      <c r="E21" s="33">
        <v>15000</v>
      </c>
      <c r="F21" s="33">
        <v>15000</v>
      </c>
      <c r="G21" s="33">
        <v>15000</v>
      </c>
      <c r="H21" s="25"/>
      <c r="I21" s="25"/>
      <c r="J21" s="1"/>
    </row>
    <row r="22" spans="1:10" x14ac:dyDescent="0.2">
      <c r="A22" s="19"/>
      <c r="B22" s="17"/>
      <c r="C22" s="2">
        <v>3</v>
      </c>
      <c r="D22" s="33">
        <v>20000</v>
      </c>
      <c r="E22" s="33">
        <v>20000</v>
      </c>
      <c r="F22" s="33">
        <v>100000</v>
      </c>
      <c r="G22" s="33">
        <v>100000</v>
      </c>
      <c r="H22" s="25"/>
      <c r="I22" s="25"/>
      <c r="J22" s="1"/>
    </row>
    <row r="23" spans="1:10" x14ac:dyDescent="0.2">
      <c r="A23" s="19"/>
      <c r="B23" s="17"/>
      <c r="C23" s="2">
        <v>4</v>
      </c>
      <c r="D23" s="33">
        <v>15000</v>
      </c>
      <c r="E23" s="33">
        <v>55000</v>
      </c>
      <c r="F23" s="33">
        <v>55000</v>
      </c>
      <c r="G23" s="33">
        <v>60000</v>
      </c>
      <c r="H23" s="25"/>
      <c r="I23" s="25"/>
      <c r="J23" s="1"/>
    </row>
    <row r="24" spans="1:10" x14ac:dyDescent="0.2">
      <c r="A24" s="19"/>
      <c r="B24" s="17"/>
      <c r="C24" s="2">
        <v>5</v>
      </c>
      <c r="D24" s="33">
        <v>150000</v>
      </c>
      <c r="E24" s="33">
        <v>250000</v>
      </c>
      <c r="F24" s="33">
        <v>250000</v>
      </c>
      <c r="G24" s="33">
        <v>250000</v>
      </c>
      <c r="H24" s="25"/>
      <c r="I24" s="25"/>
      <c r="J24" s="1"/>
    </row>
    <row r="25" spans="1:10" x14ac:dyDescent="0.2">
      <c r="A25" s="19"/>
      <c r="B25" s="17"/>
      <c r="C25" s="2">
        <v>6</v>
      </c>
      <c r="D25" s="33">
        <v>0</v>
      </c>
      <c r="E25" s="33">
        <v>50000</v>
      </c>
      <c r="F25" s="33">
        <v>50000</v>
      </c>
      <c r="G25" s="33">
        <v>30000</v>
      </c>
      <c r="H25" s="25"/>
      <c r="I25" s="25"/>
      <c r="J25" s="1"/>
    </row>
    <row r="26" spans="1:10" x14ac:dyDescent="0.2">
      <c r="A26" s="19"/>
      <c r="B26" s="17"/>
      <c r="C26" s="2">
        <v>7</v>
      </c>
      <c r="D26" s="33">
        <v>5000</v>
      </c>
      <c r="E26" s="33">
        <v>5000</v>
      </c>
      <c r="F26" s="33">
        <v>5000</v>
      </c>
      <c r="G26" s="33">
        <v>5000</v>
      </c>
      <c r="H26" s="25"/>
      <c r="I26" s="25"/>
      <c r="J26" s="1"/>
    </row>
    <row r="27" spans="1:10" x14ac:dyDescent="0.2">
      <c r="A27" s="19"/>
      <c r="B27" s="17"/>
      <c r="C27" s="2">
        <v>8</v>
      </c>
      <c r="D27" s="33">
        <v>30000</v>
      </c>
      <c r="E27" s="33">
        <v>30000</v>
      </c>
      <c r="F27" s="33">
        <v>30000</v>
      </c>
      <c r="G27" s="33">
        <v>60000</v>
      </c>
      <c r="H27" s="25"/>
      <c r="I27" s="25"/>
      <c r="J27" s="1"/>
    </row>
    <row r="28" spans="1:10" x14ac:dyDescent="0.2">
      <c r="A28" s="19"/>
      <c r="B28" s="17"/>
      <c r="C28" s="2">
        <v>9</v>
      </c>
      <c r="D28" s="33">
        <v>100000</v>
      </c>
      <c r="E28" s="33">
        <v>150000</v>
      </c>
      <c r="F28" s="33">
        <v>300000</v>
      </c>
      <c r="G28" s="33">
        <v>275000</v>
      </c>
      <c r="H28" s="25"/>
      <c r="I28" s="25"/>
      <c r="J28" s="1"/>
    </row>
    <row r="29" spans="1:10" x14ac:dyDescent="0.2">
      <c r="A29" s="19"/>
      <c r="B29" s="17"/>
      <c r="C29" s="2">
        <v>10</v>
      </c>
      <c r="D29" s="33">
        <v>60000</v>
      </c>
      <c r="E29" s="33">
        <v>85000</v>
      </c>
      <c r="F29" s="33">
        <v>150000</v>
      </c>
      <c r="G29" s="33">
        <v>150000</v>
      </c>
      <c r="H29" s="25"/>
      <c r="I29" s="25"/>
      <c r="J29" s="1"/>
    </row>
    <row r="30" spans="1:10" x14ac:dyDescent="0.2">
      <c r="A30" s="19"/>
      <c r="B30" s="17"/>
      <c r="C30" s="2">
        <v>11</v>
      </c>
      <c r="D30" s="33">
        <v>1</v>
      </c>
      <c r="E30" s="33">
        <v>350000</v>
      </c>
      <c r="F30" s="33">
        <v>400000</v>
      </c>
      <c r="G30" s="33">
        <v>375000</v>
      </c>
      <c r="H30" s="25"/>
      <c r="I30" s="25"/>
      <c r="J30" s="1"/>
    </row>
    <row r="31" spans="1:10" x14ac:dyDescent="0.2">
      <c r="A31" s="19"/>
      <c r="B31" s="17"/>
      <c r="C31" s="2">
        <v>12</v>
      </c>
      <c r="D31" s="33">
        <v>0</v>
      </c>
      <c r="E31" s="33">
        <v>40000</v>
      </c>
      <c r="F31" s="33">
        <v>40000</v>
      </c>
      <c r="G31" s="33">
        <v>40000</v>
      </c>
      <c r="H31" s="25"/>
      <c r="I31" s="25"/>
      <c r="J31" s="1"/>
    </row>
    <row r="32" spans="1:10" x14ac:dyDescent="0.2">
      <c r="A32" s="19"/>
      <c r="B32" s="17"/>
      <c r="C32" s="17"/>
      <c r="D32" s="17"/>
      <c r="E32" s="17"/>
      <c r="F32" s="17"/>
      <c r="G32" s="17"/>
      <c r="H32" s="17"/>
      <c r="I32" s="17"/>
      <c r="J32" s="1"/>
    </row>
    <row r="33" spans="1:14" x14ac:dyDescent="0.2">
      <c r="A33" s="19"/>
      <c r="B33" s="17" t="s">
        <v>0</v>
      </c>
      <c r="C33" s="17"/>
      <c r="D33" s="17"/>
      <c r="E33" s="17"/>
      <c r="F33" s="17"/>
      <c r="G33" s="17"/>
      <c r="H33" s="17"/>
      <c r="I33" s="17"/>
      <c r="J33" s="1"/>
    </row>
    <row r="34" spans="1:14" x14ac:dyDescent="0.2">
      <c r="A34" s="19"/>
      <c r="B34" s="184" t="s">
        <v>450</v>
      </c>
      <c r="C34" s="17"/>
      <c r="D34" s="17"/>
      <c r="E34" s="17"/>
      <c r="F34" s="17"/>
      <c r="G34" s="17"/>
      <c r="H34" s="17"/>
      <c r="I34" s="17"/>
      <c r="J34" s="1"/>
    </row>
    <row r="35" spans="1:14" x14ac:dyDescent="0.2">
      <c r="A35" s="19"/>
      <c r="B35" s="17"/>
      <c r="C35" s="17"/>
      <c r="D35" s="17"/>
      <c r="E35" s="17"/>
      <c r="F35" s="17"/>
      <c r="G35" s="17"/>
      <c r="H35" s="17"/>
      <c r="I35" s="17"/>
      <c r="J35" s="1"/>
    </row>
    <row r="36" spans="1:14" x14ac:dyDescent="0.2">
      <c r="A36" s="19"/>
      <c r="B36" s="17" t="s">
        <v>1</v>
      </c>
      <c r="C36" s="17"/>
      <c r="D36" s="17"/>
      <c r="E36" s="17"/>
      <c r="F36" s="17"/>
      <c r="G36" s="17"/>
      <c r="H36" s="17"/>
      <c r="I36" s="17"/>
      <c r="J36" s="1"/>
    </row>
    <row r="37" spans="1:14" x14ac:dyDescent="0.2">
      <c r="A37" s="19"/>
      <c r="B37" s="184" t="s">
        <v>449</v>
      </c>
      <c r="C37" s="17"/>
      <c r="D37" s="17"/>
      <c r="E37" s="17"/>
      <c r="F37" s="17"/>
      <c r="G37" s="17"/>
      <c r="H37" s="17"/>
      <c r="I37" s="17"/>
      <c r="J37" s="1"/>
    </row>
    <row r="38" spans="1:14" x14ac:dyDescent="0.2">
      <c r="A38" s="19"/>
      <c r="B38" s="17"/>
      <c r="C38" s="17"/>
      <c r="D38" s="17"/>
      <c r="E38" s="17"/>
      <c r="F38" s="17"/>
      <c r="G38" s="17"/>
      <c r="H38" s="17"/>
      <c r="I38" s="17"/>
      <c r="J38" s="1"/>
    </row>
    <row r="39" spans="1:14" x14ac:dyDescent="0.2">
      <c r="A39" s="19"/>
      <c r="B39" s="17" t="s">
        <v>2</v>
      </c>
      <c r="C39" s="17"/>
      <c r="D39" s="17"/>
      <c r="E39" s="17"/>
      <c r="F39" s="17"/>
      <c r="G39" s="17"/>
      <c r="H39" s="17"/>
      <c r="I39" s="17"/>
      <c r="J39" s="1"/>
    </row>
    <row r="40" spans="1:14" x14ac:dyDescent="0.2">
      <c r="A40" s="19"/>
      <c r="B40" s="17" t="s">
        <v>241</v>
      </c>
      <c r="C40" s="17"/>
      <c r="D40" s="17"/>
      <c r="E40" s="17"/>
      <c r="F40" s="17"/>
      <c r="G40" s="17"/>
      <c r="H40" s="17"/>
      <c r="I40" s="17"/>
      <c r="J40" s="1"/>
    </row>
    <row r="41" spans="1:14" ht="17" thickBot="1" x14ac:dyDescent="0.25">
      <c r="A41" s="20"/>
      <c r="B41" s="6"/>
      <c r="C41" s="64"/>
      <c r="D41" s="64"/>
      <c r="E41" s="64"/>
      <c r="F41" s="6"/>
      <c r="G41" s="6"/>
      <c r="H41" s="6"/>
      <c r="I41" s="6"/>
      <c r="J41" s="7"/>
    </row>
    <row r="42" spans="1:14" x14ac:dyDescent="0.2">
      <c r="A42" s="4"/>
      <c r="B42" s="4"/>
      <c r="C42" s="4"/>
      <c r="D42" s="4"/>
      <c r="E42" s="4"/>
      <c r="F42" s="4"/>
      <c r="G42" s="4"/>
      <c r="H42" s="4"/>
      <c r="I42" s="4"/>
    </row>
    <row r="43" spans="1:14" ht="19" x14ac:dyDescent="0.25">
      <c r="A43" s="21" t="s">
        <v>3</v>
      </c>
      <c r="B43" s="4"/>
      <c r="C43" s="4"/>
      <c r="D43" s="4"/>
      <c r="E43" s="4"/>
      <c r="F43" s="4"/>
      <c r="G43" s="4"/>
      <c r="H43" s="4"/>
      <c r="I43" s="4"/>
    </row>
    <row r="44" spans="1:14" x14ac:dyDescent="0.2">
      <c r="A44" s="22"/>
      <c r="B44" s="4" t="s">
        <v>0</v>
      </c>
      <c r="C44" s="23"/>
      <c r="D44" s="4"/>
      <c r="E44" s="4"/>
      <c r="F44" s="4"/>
      <c r="G44" s="4"/>
      <c r="H44" s="4"/>
      <c r="I44" s="4"/>
    </row>
    <row r="45" spans="1:14" x14ac:dyDescent="0.2">
      <c r="A45" s="4"/>
      <c r="B45" s="4" t="s">
        <v>208</v>
      </c>
      <c r="C45" s="4"/>
      <c r="D45" s="4"/>
      <c r="E45" s="4"/>
      <c r="F45" s="4"/>
      <c r="G45" s="4"/>
      <c r="H45" s="4"/>
      <c r="I45" s="4"/>
    </row>
    <row r="46" spans="1:14" x14ac:dyDescent="0.2">
      <c r="A46" s="4"/>
      <c r="B46" s="4"/>
      <c r="C46" s="4"/>
      <c r="D46" s="4"/>
      <c r="E46" s="4"/>
      <c r="F46" s="4"/>
      <c r="G46" s="4"/>
      <c r="H46" s="4"/>
      <c r="I46" s="4"/>
      <c r="L46" s="24"/>
    </row>
    <row r="47" spans="1:14" x14ac:dyDescent="0.2">
      <c r="A47" s="4"/>
      <c r="B47" s="4" t="s">
        <v>243</v>
      </c>
      <c r="C47" s="4"/>
      <c r="D47" s="4"/>
      <c r="E47" s="4"/>
      <c r="F47" s="4"/>
      <c r="G47" s="4"/>
      <c r="H47" s="4"/>
      <c r="I47" s="4"/>
      <c r="L47" s="24"/>
      <c r="M47" s="24"/>
      <c r="N47" s="24"/>
    </row>
    <row r="48" spans="1:14" x14ac:dyDescent="0.2">
      <c r="A48" s="4"/>
      <c r="B48" s="4"/>
      <c r="C48" s="4"/>
      <c r="D48" s="4"/>
      <c r="E48" s="4"/>
      <c r="F48" s="4"/>
      <c r="G48" s="4"/>
      <c r="H48" s="4"/>
      <c r="I48" s="4"/>
      <c r="L48" s="24"/>
      <c r="M48" s="24"/>
      <c r="N48" s="24"/>
    </row>
    <row r="49" spans="1:14" x14ac:dyDescent="0.2">
      <c r="A49" s="4"/>
      <c r="B49" s="4"/>
      <c r="C49" s="37" t="s">
        <v>25</v>
      </c>
      <c r="D49" s="155">
        <v>43739</v>
      </c>
      <c r="E49" s="4"/>
      <c r="F49" s="4"/>
      <c r="G49" s="4"/>
      <c r="H49" s="4"/>
      <c r="I49" s="4"/>
      <c r="L49" s="24"/>
      <c r="M49" s="24"/>
      <c r="N49" s="24"/>
    </row>
    <row r="50" spans="1:14" x14ac:dyDescent="0.2">
      <c r="A50" s="4"/>
      <c r="B50" s="4"/>
      <c r="C50" s="50">
        <v>1</v>
      </c>
      <c r="D50" s="79">
        <f>MIN(E20,E$11)</f>
        <v>0</v>
      </c>
      <c r="E50" s="4"/>
      <c r="F50" s="4"/>
      <c r="G50" s="4"/>
      <c r="H50" s="4"/>
      <c r="I50" s="4"/>
      <c r="L50" s="24"/>
      <c r="M50" s="24"/>
      <c r="N50" s="24"/>
    </row>
    <row r="51" spans="1:14" x14ac:dyDescent="0.2">
      <c r="A51" s="4"/>
      <c r="B51" s="4"/>
      <c r="C51" s="50">
        <v>2</v>
      </c>
      <c r="D51" s="79">
        <f>MIN(E21,E$11)</f>
        <v>15000</v>
      </c>
      <c r="E51" s="4"/>
      <c r="F51" s="4"/>
      <c r="G51" s="4"/>
      <c r="H51" s="4"/>
      <c r="I51" s="4"/>
      <c r="L51" s="24"/>
      <c r="M51" s="24"/>
      <c r="N51" s="24"/>
    </row>
    <row r="52" spans="1:14" x14ac:dyDescent="0.2">
      <c r="A52" s="4"/>
      <c r="B52" s="4"/>
      <c r="C52" s="50">
        <v>3</v>
      </c>
      <c r="D52" s="79">
        <f t="shared" ref="D52:D61" si="0">MIN(E22,E$11)</f>
        <v>20000</v>
      </c>
      <c r="E52" s="4"/>
      <c r="F52" s="4"/>
      <c r="G52" s="4"/>
      <c r="H52" s="4"/>
      <c r="I52" s="4"/>
      <c r="L52" s="24"/>
      <c r="M52" s="24"/>
      <c r="N52" s="24"/>
    </row>
    <row r="53" spans="1:14" x14ac:dyDescent="0.2">
      <c r="A53" s="4"/>
      <c r="B53" s="4"/>
      <c r="C53" s="50">
        <v>4</v>
      </c>
      <c r="D53" s="79">
        <f t="shared" si="0"/>
        <v>55000</v>
      </c>
      <c r="E53" s="4"/>
      <c r="F53" s="4"/>
      <c r="G53" s="4"/>
      <c r="H53" s="4"/>
      <c r="I53" s="4"/>
      <c r="L53" s="4"/>
      <c r="M53" s="23"/>
      <c r="N53" s="4"/>
    </row>
    <row r="54" spans="1:14" x14ac:dyDescent="0.2">
      <c r="A54" s="4"/>
      <c r="B54" s="4"/>
      <c r="C54" s="50">
        <v>5</v>
      </c>
      <c r="D54" s="79">
        <f t="shared" si="0"/>
        <v>200000</v>
      </c>
      <c r="E54" s="4"/>
      <c r="F54" s="4"/>
      <c r="G54" s="4"/>
      <c r="H54" s="4"/>
      <c r="I54" s="4"/>
      <c r="L54" s="24"/>
      <c r="M54" s="24"/>
      <c r="N54" s="24"/>
    </row>
    <row r="55" spans="1:14" x14ac:dyDescent="0.2">
      <c r="A55" s="4"/>
      <c r="B55" s="4"/>
      <c r="C55" s="50">
        <v>6</v>
      </c>
      <c r="D55" s="79">
        <f t="shared" si="0"/>
        <v>50000</v>
      </c>
      <c r="E55" s="4"/>
      <c r="F55" s="4"/>
      <c r="G55" s="4"/>
      <c r="H55" s="4"/>
      <c r="I55" s="4"/>
      <c r="L55" s="24"/>
      <c r="M55" s="24"/>
      <c r="N55" s="24"/>
    </row>
    <row r="56" spans="1:14" x14ac:dyDescent="0.2">
      <c r="A56" s="4"/>
      <c r="B56" s="4"/>
      <c r="C56" s="50">
        <v>7</v>
      </c>
      <c r="D56" s="79">
        <f>MIN(E26,E$11)</f>
        <v>5000</v>
      </c>
      <c r="E56" s="4"/>
      <c r="F56" s="4"/>
      <c r="G56" s="4"/>
      <c r="H56" s="4"/>
      <c r="I56" s="4"/>
      <c r="L56" s="24"/>
      <c r="M56" s="24"/>
      <c r="N56" s="24"/>
    </row>
    <row r="57" spans="1:14" x14ac:dyDescent="0.2">
      <c r="A57" s="4"/>
      <c r="B57" s="4"/>
      <c r="C57" s="50">
        <v>8</v>
      </c>
      <c r="D57" s="79">
        <f t="shared" si="0"/>
        <v>30000</v>
      </c>
      <c r="E57" s="4"/>
      <c r="F57" s="4"/>
      <c r="G57" s="4"/>
      <c r="H57" s="4"/>
      <c r="I57" s="4"/>
      <c r="L57" s="24"/>
      <c r="M57" s="24"/>
      <c r="N57" s="24"/>
    </row>
    <row r="58" spans="1:14" x14ac:dyDescent="0.2">
      <c r="A58" s="4"/>
      <c r="B58" s="4"/>
      <c r="C58" s="50">
        <v>9</v>
      </c>
      <c r="D58" s="79">
        <f t="shared" si="0"/>
        <v>150000</v>
      </c>
      <c r="E58" s="4"/>
      <c r="F58" s="4"/>
      <c r="G58" s="4"/>
      <c r="H58" s="4"/>
      <c r="I58" s="4"/>
      <c r="L58" s="24"/>
      <c r="M58" s="24"/>
      <c r="N58" s="24"/>
    </row>
    <row r="59" spans="1:14" x14ac:dyDescent="0.2">
      <c r="A59" s="4"/>
      <c r="B59" s="4"/>
      <c r="C59" s="50">
        <v>10</v>
      </c>
      <c r="D59" s="79">
        <f t="shared" si="0"/>
        <v>85000</v>
      </c>
      <c r="E59" s="4"/>
      <c r="F59" s="4"/>
      <c r="G59" s="4"/>
      <c r="H59" s="4"/>
      <c r="I59" s="4"/>
      <c r="L59" s="24"/>
      <c r="M59" s="24"/>
      <c r="N59" s="24"/>
    </row>
    <row r="60" spans="1:14" x14ac:dyDescent="0.2">
      <c r="A60" s="4"/>
      <c r="B60" s="4"/>
      <c r="C60" s="50">
        <v>11</v>
      </c>
      <c r="D60" s="79">
        <f t="shared" si="0"/>
        <v>200000</v>
      </c>
      <c r="E60" s="4"/>
      <c r="F60" s="4"/>
      <c r="G60" s="4"/>
      <c r="H60" s="4"/>
      <c r="I60" s="4"/>
      <c r="L60" s="24"/>
      <c r="M60" s="24"/>
      <c r="N60" s="24"/>
    </row>
    <row r="61" spans="1:14" x14ac:dyDescent="0.2">
      <c r="A61" s="4"/>
      <c r="B61" s="4"/>
      <c r="C61" s="37">
        <v>12</v>
      </c>
      <c r="D61" s="156">
        <f t="shared" si="0"/>
        <v>40000</v>
      </c>
      <c r="E61" s="4"/>
      <c r="F61" s="4"/>
      <c r="G61" s="4"/>
      <c r="H61" s="4"/>
      <c r="I61" s="4"/>
      <c r="L61" s="24"/>
      <c r="M61" s="24"/>
      <c r="N61" s="24"/>
    </row>
    <row r="62" spans="1:14" x14ac:dyDescent="0.2">
      <c r="A62" s="4"/>
      <c r="B62" s="4"/>
      <c r="C62" s="143" t="s">
        <v>4</v>
      </c>
      <c r="D62" s="49">
        <f>MIN(SUM(D50:D61),E$12)</f>
        <v>850000</v>
      </c>
      <c r="E62" s="4"/>
      <c r="F62" s="4"/>
      <c r="G62" s="4"/>
      <c r="H62" s="4"/>
      <c r="I62" s="4"/>
      <c r="L62" s="24"/>
      <c r="M62" s="24"/>
      <c r="N62" s="24"/>
    </row>
    <row r="63" spans="1:14" x14ac:dyDescent="0.2">
      <c r="A63" s="4"/>
      <c r="B63" s="4"/>
      <c r="C63" s="4"/>
      <c r="D63" s="4"/>
      <c r="E63" s="4"/>
      <c r="F63" s="4"/>
      <c r="G63" s="4"/>
      <c r="H63" s="4"/>
      <c r="I63" s="4"/>
      <c r="L63" s="24"/>
      <c r="M63" s="24"/>
      <c r="N63" s="24"/>
    </row>
    <row r="64" spans="1:14" x14ac:dyDescent="0.2">
      <c r="A64" s="4"/>
      <c r="B64" s="4" t="s">
        <v>246</v>
      </c>
      <c r="C64" s="4"/>
      <c r="D64" s="4"/>
      <c r="E64" s="4"/>
      <c r="F64" s="42"/>
      <c r="G64" s="4"/>
      <c r="H64" s="4"/>
      <c r="I64" s="4"/>
      <c r="L64" s="4"/>
      <c r="M64" s="23"/>
      <c r="N64" s="4"/>
    </row>
    <row r="65" spans="1:14" x14ac:dyDescent="0.2">
      <c r="A65" s="4"/>
      <c r="B65" s="4"/>
      <c r="C65" s="4"/>
      <c r="D65" s="4"/>
      <c r="E65" s="4"/>
      <c r="F65" s="4"/>
      <c r="G65" s="4"/>
      <c r="H65" s="4"/>
      <c r="I65" s="4"/>
      <c r="L65" s="4"/>
      <c r="M65" s="23"/>
      <c r="N65" s="4"/>
    </row>
    <row r="66" spans="1:14" x14ac:dyDescent="0.2">
      <c r="A66" s="4"/>
      <c r="B66" s="4"/>
      <c r="C66" s="4"/>
      <c r="D66" s="42" t="s">
        <v>247</v>
      </c>
      <c r="E66" s="4"/>
      <c r="F66" s="4"/>
      <c r="G66" s="4"/>
      <c r="H66" s="4"/>
      <c r="I66" s="26" t="s">
        <v>249</v>
      </c>
      <c r="J66" s="89">
        <f>1/(1-E14-E13)</f>
        <v>1.1764705882352942</v>
      </c>
      <c r="L66" s="4"/>
      <c r="M66" s="23"/>
      <c r="N66" s="4"/>
    </row>
    <row r="67" spans="1:14" x14ac:dyDescent="0.2">
      <c r="A67" s="4"/>
      <c r="B67" s="4"/>
      <c r="C67" s="4"/>
      <c r="D67" s="4"/>
      <c r="E67" s="4"/>
      <c r="F67" s="4"/>
      <c r="G67" s="4"/>
      <c r="H67" s="4"/>
      <c r="I67" s="4"/>
      <c r="L67" s="4"/>
      <c r="M67" s="23"/>
      <c r="N67" s="4"/>
    </row>
    <row r="68" spans="1:14" x14ac:dyDescent="0.2">
      <c r="A68" s="4"/>
      <c r="B68" s="4" t="s">
        <v>248</v>
      </c>
      <c r="C68" s="4"/>
      <c r="D68" s="4"/>
      <c r="E68" s="4"/>
      <c r="F68" s="4"/>
      <c r="G68" s="4"/>
      <c r="H68" s="4"/>
      <c r="I68" s="4"/>
      <c r="L68" s="4"/>
      <c r="M68" s="23"/>
      <c r="N68" s="4"/>
    </row>
    <row r="69" spans="1:14" x14ac:dyDescent="0.2">
      <c r="A69" s="4"/>
      <c r="B69" s="4"/>
      <c r="C69" s="4"/>
      <c r="D69" s="4"/>
      <c r="E69" s="4"/>
      <c r="F69" s="4"/>
      <c r="G69" s="4"/>
      <c r="H69" s="4"/>
      <c r="I69" s="4"/>
      <c r="L69" s="4"/>
      <c r="M69" s="23"/>
      <c r="N69" s="4"/>
    </row>
    <row r="70" spans="1:14" x14ac:dyDescent="0.2">
      <c r="A70" s="4"/>
      <c r="B70" s="4"/>
      <c r="C70" s="4"/>
      <c r="D70" s="4"/>
      <c r="E70" s="4"/>
      <c r="F70" s="4"/>
      <c r="G70" s="4"/>
      <c r="H70" s="4"/>
      <c r="I70" s="4"/>
      <c r="L70" s="4"/>
      <c r="M70" s="23"/>
      <c r="N70" s="4"/>
    </row>
    <row r="71" spans="1:14" ht="17" thickBot="1" x14ac:dyDescent="0.25">
      <c r="A71" s="4"/>
      <c r="B71" s="4"/>
      <c r="C71" s="4"/>
      <c r="D71" s="4"/>
      <c r="E71" s="4"/>
      <c r="F71" s="4"/>
      <c r="G71" s="4"/>
      <c r="H71" s="4"/>
      <c r="I71" s="4"/>
      <c r="L71" s="4"/>
      <c r="M71" s="23"/>
      <c r="N71" s="4"/>
    </row>
    <row r="72" spans="1:14" ht="17" thickBot="1" x14ac:dyDescent="0.25">
      <c r="A72" s="4"/>
      <c r="B72" s="46" t="s">
        <v>250</v>
      </c>
      <c r="C72" s="80">
        <f>1500000/J66-E10*D62</f>
        <v>255000</v>
      </c>
      <c r="D72" s="4"/>
      <c r="E72" s="4"/>
      <c r="F72" s="4"/>
      <c r="G72" s="4"/>
      <c r="H72" s="4"/>
      <c r="I72" s="4"/>
      <c r="L72" s="4"/>
      <c r="M72" s="23"/>
      <c r="N72" s="4"/>
    </row>
    <row r="73" spans="1:14" x14ac:dyDescent="0.2">
      <c r="A73" s="4"/>
      <c r="B73" s="4"/>
      <c r="C73" s="4"/>
      <c r="D73" s="4"/>
      <c r="E73" s="4"/>
      <c r="F73" s="4"/>
      <c r="G73" s="4"/>
      <c r="H73" s="4"/>
      <c r="I73" s="4"/>
      <c r="L73" s="4"/>
      <c r="M73" s="23"/>
      <c r="N73" s="4"/>
    </row>
    <row r="74" spans="1:14" x14ac:dyDescent="0.2">
      <c r="A74" s="4"/>
      <c r="B74" s="4" t="s">
        <v>1</v>
      </c>
      <c r="C74" s="4"/>
      <c r="D74" s="4"/>
      <c r="E74" s="4"/>
      <c r="F74" s="4"/>
      <c r="G74" s="4"/>
      <c r="H74" s="4"/>
      <c r="I74" s="4"/>
      <c r="L74" s="4"/>
      <c r="M74" s="23"/>
      <c r="N74" s="4"/>
    </row>
    <row r="75" spans="1:14" x14ac:dyDescent="0.2">
      <c r="A75" s="4"/>
      <c r="B75" s="4" t="s">
        <v>251</v>
      </c>
      <c r="C75" s="4"/>
      <c r="D75" s="4"/>
      <c r="E75" s="4"/>
      <c r="F75" s="4"/>
      <c r="G75" s="4"/>
      <c r="H75" s="4"/>
      <c r="I75" s="4"/>
      <c r="L75" s="4"/>
      <c r="M75" s="23"/>
      <c r="N75" s="4"/>
    </row>
    <row r="76" spans="1:14" x14ac:dyDescent="0.2">
      <c r="A76" s="4"/>
      <c r="B76" s="4"/>
      <c r="C76" s="4"/>
      <c r="D76" s="4"/>
      <c r="E76" s="4"/>
      <c r="F76" s="4"/>
      <c r="G76" s="4"/>
      <c r="H76" s="4"/>
      <c r="I76" s="4"/>
      <c r="L76" s="4"/>
      <c r="M76" s="23"/>
      <c r="N76" s="4"/>
    </row>
    <row r="77" spans="1:14" x14ac:dyDescent="0.2">
      <c r="A77" s="4"/>
      <c r="B77" s="4"/>
      <c r="C77" s="169" t="s">
        <v>25</v>
      </c>
      <c r="D77" s="155">
        <v>44105</v>
      </c>
      <c r="E77" s="4"/>
      <c r="F77" s="4"/>
      <c r="G77" s="4"/>
      <c r="H77" s="4"/>
      <c r="I77" s="4"/>
      <c r="L77" s="4"/>
      <c r="M77" s="23"/>
      <c r="N77" s="4"/>
    </row>
    <row r="78" spans="1:14" x14ac:dyDescent="0.2">
      <c r="A78" s="4"/>
      <c r="B78" s="4"/>
      <c r="C78" s="168">
        <v>1</v>
      </c>
      <c r="D78" s="79">
        <f>MIN(G20,E$11)</f>
        <v>25000</v>
      </c>
      <c r="E78" s="4"/>
      <c r="F78" s="4"/>
      <c r="G78" s="4"/>
      <c r="H78" s="4"/>
      <c r="I78" s="4"/>
      <c r="L78" s="4"/>
      <c r="M78" s="23"/>
      <c r="N78" s="4"/>
    </row>
    <row r="79" spans="1:14" x14ac:dyDescent="0.2">
      <c r="A79" s="4"/>
      <c r="B79" s="4"/>
      <c r="C79" s="168">
        <v>2</v>
      </c>
      <c r="D79" s="79">
        <f t="shared" ref="D79:D89" si="1">MIN(G21,E$11)</f>
        <v>15000</v>
      </c>
      <c r="E79" s="4"/>
      <c r="F79" s="4"/>
      <c r="G79" s="4"/>
      <c r="H79" s="4"/>
      <c r="I79" s="4"/>
      <c r="L79" s="4"/>
      <c r="M79" s="23"/>
      <c r="N79" s="4"/>
    </row>
    <row r="80" spans="1:14" x14ac:dyDescent="0.2">
      <c r="A80" s="4"/>
      <c r="B80" s="4"/>
      <c r="C80" s="168">
        <v>3</v>
      </c>
      <c r="D80" s="79">
        <f t="shared" si="1"/>
        <v>100000</v>
      </c>
      <c r="E80" s="4"/>
      <c r="F80" s="4"/>
      <c r="G80" s="4"/>
      <c r="H80" s="4"/>
      <c r="I80" s="4"/>
      <c r="L80" s="4"/>
      <c r="M80" s="23"/>
      <c r="N80" s="4"/>
    </row>
    <row r="81" spans="1:14" x14ac:dyDescent="0.2">
      <c r="A81" s="4"/>
      <c r="B81" s="4"/>
      <c r="C81" s="168">
        <v>4</v>
      </c>
      <c r="D81" s="79">
        <f t="shared" si="1"/>
        <v>60000</v>
      </c>
      <c r="E81" s="4"/>
      <c r="F81" s="4"/>
      <c r="G81" s="4"/>
      <c r="H81" s="4"/>
      <c r="I81" s="4"/>
      <c r="L81" s="4"/>
      <c r="M81" s="23"/>
      <c r="N81" s="4"/>
    </row>
    <row r="82" spans="1:14" x14ac:dyDescent="0.2">
      <c r="A82" s="4"/>
      <c r="B82" s="4"/>
      <c r="C82" s="168">
        <v>5</v>
      </c>
      <c r="D82" s="79">
        <f t="shared" si="1"/>
        <v>200000</v>
      </c>
      <c r="E82" s="4"/>
      <c r="F82" s="4"/>
      <c r="G82" s="4"/>
      <c r="H82" s="4"/>
      <c r="I82" s="4"/>
      <c r="L82" s="4"/>
      <c r="M82" s="23"/>
      <c r="N82" s="4"/>
    </row>
    <row r="83" spans="1:14" x14ac:dyDescent="0.2">
      <c r="A83" s="4"/>
      <c r="B83" s="4"/>
      <c r="C83" s="168">
        <v>6</v>
      </c>
      <c r="D83" s="79">
        <f t="shared" si="1"/>
        <v>30000</v>
      </c>
      <c r="E83" s="4"/>
      <c r="F83" s="4"/>
      <c r="G83" s="4"/>
      <c r="H83" s="4"/>
      <c r="I83" s="4"/>
      <c r="L83" s="4"/>
      <c r="M83" s="23"/>
      <c r="N83" s="4"/>
    </row>
    <row r="84" spans="1:14" x14ac:dyDescent="0.2">
      <c r="A84" s="4"/>
      <c r="B84" s="4"/>
      <c r="C84" s="168">
        <v>7</v>
      </c>
      <c r="D84" s="79">
        <f t="shared" si="1"/>
        <v>5000</v>
      </c>
      <c r="E84" s="4"/>
      <c r="F84" s="4"/>
      <c r="G84" s="4"/>
      <c r="H84" s="4"/>
      <c r="I84" s="4"/>
      <c r="L84" s="4"/>
      <c r="M84" s="23"/>
      <c r="N84" s="4"/>
    </row>
    <row r="85" spans="1:14" x14ac:dyDescent="0.2">
      <c r="A85" s="4"/>
      <c r="B85" s="4"/>
      <c r="C85" s="168">
        <v>8</v>
      </c>
      <c r="D85" s="79">
        <f t="shared" si="1"/>
        <v>60000</v>
      </c>
      <c r="E85" s="4"/>
      <c r="F85" s="4"/>
      <c r="G85" s="4"/>
      <c r="H85" s="4"/>
      <c r="I85" s="4"/>
      <c r="L85" s="4"/>
      <c r="M85" s="23"/>
      <c r="N85" s="4"/>
    </row>
    <row r="86" spans="1:14" x14ac:dyDescent="0.2">
      <c r="A86" s="4"/>
      <c r="B86" s="4"/>
      <c r="C86" s="168">
        <v>9</v>
      </c>
      <c r="D86" s="79">
        <f t="shared" si="1"/>
        <v>200000</v>
      </c>
      <c r="E86" s="4"/>
      <c r="F86" s="4"/>
      <c r="G86" s="4"/>
      <c r="H86" s="4"/>
      <c r="I86" s="4"/>
      <c r="L86" s="4"/>
      <c r="M86" s="23"/>
      <c r="N86" s="4"/>
    </row>
    <row r="87" spans="1:14" x14ac:dyDescent="0.2">
      <c r="A87" s="4"/>
      <c r="B87" s="4"/>
      <c r="C87" s="168">
        <v>10</v>
      </c>
      <c r="D87" s="79">
        <f t="shared" si="1"/>
        <v>150000</v>
      </c>
      <c r="E87" s="4"/>
      <c r="F87" s="4"/>
      <c r="G87" s="4"/>
      <c r="H87" s="4"/>
      <c r="I87" s="4"/>
      <c r="L87" s="4"/>
      <c r="M87" s="23"/>
      <c r="N87" s="4"/>
    </row>
    <row r="88" spans="1:14" x14ac:dyDescent="0.2">
      <c r="A88" s="4"/>
      <c r="B88" s="4"/>
      <c r="C88" s="168">
        <v>11</v>
      </c>
      <c r="D88" s="79">
        <f t="shared" si="1"/>
        <v>200000</v>
      </c>
      <c r="E88" s="4"/>
      <c r="F88" s="4"/>
      <c r="G88" s="4"/>
      <c r="H88" s="4"/>
      <c r="I88" s="4"/>
      <c r="L88" s="4"/>
      <c r="M88" s="23"/>
      <c r="N88" s="4"/>
    </row>
    <row r="89" spans="1:14" x14ac:dyDescent="0.2">
      <c r="A89" s="4"/>
      <c r="B89" s="4"/>
      <c r="C89" s="169">
        <v>12</v>
      </c>
      <c r="D89" s="156">
        <f t="shared" si="1"/>
        <v>40000</v>
      </c>
      <c r="E89" s="4"/>
      <c r="F89" s="4"/>
      <c r="G89" s="4"/>
      <c r="H89" s="4"/>
      <c r="I89" s="4"/>
      <c r="L89" s="4"/>
      <c r="M89" s="23"/>
      <c r="N89" s="4"/>
    </row>
    <row r="90" spans="1:14" x14ac:dyDescent="0.2">
      <c r="A90" s="4"/>
      <c r="B90" s="4"/>
      <c r="C90" s="143" t="s">
        <v>4</v>
      </c>
      <c r="D90" s="49">
        <f>MIN(SUM(D78:D89),E$12)</f>
        <v>1000000</v>
      </c>
      <c r="E90" s="4"/>
      <c r="F90" s="4"/>
      <c r="G90" s="4"/>
      <c r="H90" s="4"/>
      <c r="I90" s="4"/>
      <c r="L90" s="4"/>
      <c r="M90" s="23"/>
      <c r="N90" s="4"/>
    </row>
    <row r="91" spans="1:14" ht="17" thickBot="1" x14ac:dyDescent="0.25">
      <c r="A91" s="4"/>
      <c r="B91" s="4"/>
      <c r="C91" s="4"/>
      <c r="D91" s="4"/>
      <c r="E91" s="4"/>
      <c r="F91" s="4"/>
      <c r="G91" s="4"/>
      <c r="H91" s="4"/>
      <c r="I91" s="4"/>
      <c r="L91" s="4"/>
      <c r="M91" s="23"/>
      <c r="N91" s="4"/>
    </row>
    <row r="92" spans="1:14" ht="17" thickBot="1" x14ac:dyDescent="0.25">
      <c r="A92" s="4"/>
      <c r="B92" s="46" t="s">
        <v>89</v>
      </c>
      <c r="C92" s="80">
        <f>(C72+E10*D90)*J66</f>
        <v>1711764.705882353</v>
      </c>
      <c r="D92" s="4"/>
      <c r="E92" s="4"/>
      <c r="F92" s="4"/>
      <c r="G92" s="4"/>
      <c r="H92" s="4"/>
      <c r="I92" s="4"/>
      <c r="L92" s="4"/>
      <c r="M92" s="23"/>
      <c r="N92" s="4"/>
    </row>
    <row r="93" spans="1:14" x14ac:dyDescent="0.2">
      <c r="A93" s="4"/>
      <c r="B93" s="4"/>
      <c r="C93" s="4"/>
      <c r="D93" s="4"/>
      <c r="E93" s="4"/>
      <c r="F93" s="4"/>
      <c r="G93" s="4"/>
      <c r="H93" s="4"/>
      <c r="I93" s="4"/>
      <c r="L93" s="4"/>
      <c r="M93" s="23"/>
      <c r="N93" s="4"/>
    </row>
    <row r="94" spans="1:14" x14ac:dyDescent="0.2">
      <c r="A94" s="4"/>
      <c r="B94" s="4"/>
      <c r="C94" s="4"/>
      <c r="D94" s="4"/>
      <c r="E94" s="4"/>
      <c r="F94" s="4"/>
      <c r="G94" s="4"/>
      <c r="H94" s="4"/>
      <c r="I94" s="4"/>
      <c r="L94" s="4"/>
      <c r="M94" s="23"/>
      <c r="N94" s="4"/>
    </row>
    <row r="95" spans="1:14" x14ac:dyDescent="0.2">
      <c r="A95" s="4"/>
      <c r="B95" s="4" t="s">
        <v>2</v>
      </c>
      <c r="C95" s="4"/>
      <c r="D95" s="4"/>
      <c r="E95" s="4"/>
      <c r="F95" s="4"/>
      <c r="G95" s="4"/>
      <c r="H95" s="4"/>
      <c r="I95" s="4"/>
      <c r="L95" s="24"/>
      <c r="M95" s="24"/>
      <c r="N95" s="24"/>
    </row>
    <row r="96" spans="1:14" x14ac:dyDescent="0.2">
      <c r="A96" s="4"/>
      <c r="B96" s="4" t="s">
        <v>252</v>
      </c>
      <c r="C96" s="4"/>
      <c r="D96" s="4"/>
      <c r="E96" s="4"/>
      <c r="F96" s="4"/>
      <c r="G96" s="4"/>
      <c r="H96" s="4"/>
      <c r="I96" s="4"/>
      <c r="L96" s="24"/>
      <c r="M96" s="24"/>
      <c r="N96" s="24"/>
    </row>
    <row r="97" spans="1:65" x14ac:dyDescent="0.2">
      <c r="A97" s="4"/>
      <c r="B97" s="4" t="s">
        <v>253</v>
      </c>
      <c r="C97" s="4"/>
      <c r="D97" s="4"/>
      <c r="E97" s="4"/>
      <c r="F97" s="4"/>
      <c r="G97" s="4"/>
      <c r="H97" s="4"/>
      <c r="I97" s="4"/>
      <c r="L97" s="24"/>
      <c r="M97" s="24"/>
      <c r="N97" s="24"/>
    </row>
    <row r="98" spans="1:65" x14ac:dyDescent="0.2">
      <c r="A98" s="4"/>
      <c r="B98" s="36" t="s">
        <v>254</v>
      </c>
      <c r="C98" s="4"/>
      <c r="D98" s="4"/>
      <c r="E98" s="4"/>
      <c r="F98" s="4"/>
      <c r="G98" s="4"/>
      <c r="H98" s="4"/>
      <c r="I98" s="4"/>
      <c r="L98" s="24"/>
      <c r="M98" s="24"/>
      <c r="N98" s="24"/>
    </row>
    <row r="99" spans="1:65" x14ac:dyDescent="0.2">
      <c r="A99" s="4"/>
      <c r="B99" s="36" t="s">
        <v>255</v>
      </c>
      <c r="C99" s="4"/>
      <c r="D99" s="4"/>
      <c r="E99" s="4"/>
      <c r="F99" s="4"/>
      <c r="G99" s="4"/>
      <c r="H99" s="4"/>
      <c r="I99" s="4"/>
      <c r="L99" s="24"/>
      <c r="M99" s="24"/>
      <c r="N99" s="24"/>
    </row>
    <row r="100" spans="1:65" x14ac:dyDescent="0.2">
      <c r="A100" s="4"/>
      <c r="B100" s="36" t="s">
        <v>256</v>
      </c>
      <c r="C100" s="4"/>
      <c r="D100" s="4"/>
      <c r="E100" s="4"/>
      <c r="F100" s="4"/>
      <c r="G100" s="4"/>
      <c r="H100" s="4"/>
      <c r="I100" s="4"/>
      <c r="L100" s="24"/>
      <c r="M100" s="24"/>
      <c r="N100" s="24"/>
    </row>
    <row r="101" spans="1:65" x14ac:dyDescent="0.2">
      <c r="A101" s="4"/>
      <c r="B101" s="36" t="s">
        <v>257</v>
      </c>
      <c r="C101" s="4"/>
      <c r="D101" s="4"/>
      <c r="E101" s="4"/>
      <c r="F101" s="4"/>
      <c r="G101" s="4"/>
      <c r="H101" s="4"/>
      <c r="I101" s="4"/>
      <c r="L101" s="24"/>
      <c r="M101" s="24"/>
      <c r="N101" s="24"/>
    </row>
    <row r="102" spans="1:65" x14ac:dyDescent="0.2">
      <c r="A102" s="4"/>
      <c r="B102" s="36" t="s">
        <v>258</v>
      </c>
      <c r="C102" s="4"/>
      <c r="D102" s="4"/>
      <c r="E102" s="4"/>
      <c r="F102" s="4"/>
      <c r="G102" s="4"/>
      <c r="H102" s="4"/>
      <c r="I102" s="4"/>
      <c r="L102" s="24"/>
      <c r="M102" s="24"/>
      <c r="N102" s="24"/>
    </row>
    <row r="103" spans="1:65" x14ac:dyDescent="0.2">
      <c r="A103" s="4"/>
      <c r="B103" s="36" t="s">
        <v>259</v>
      </c>
      <c r="C103" s="4"/>
      <c r="D103" s="4"/>
      <c r="E103" s="4"/>
      <c r="F103" s="4"/>
      <c r="G103" s="4"/>
      <c r="H103" s="4"/>
      <c r="I103" s="4"/>
      <c r="L103" s="24"/>
      <c r="M103" s="24"/>
      <c r="N103" s="24"/>
    </row>
    <row r="104" spans="1:65" x14ac:dyDescent="0.2">
      <c r="A104" s="4"/>
      <c r="B104" s="4"/>
      <c r="C104" s="4"/>
      <c r="D104" s="4"/>
      <c r="E104" s="4"/>
      <c r="F104" s="4"/>
      <c r="G104" s="4"/>
      <c r="H104" s="4"/>
      <c r="I104" s="4"/>
      <c r="L104" s="4"/>
      <c r="M104" s="23"/>
      <c r="N104" s="4"/>
    </row>
    <row r="105" spans="1:65" ht="19" x14ac:dyDescent="0.25">
      <c r="A105" s="21" t="s">
        <v>5</v>
      </c>
      <c r="B105" s="4"/>
      <c r="C105" s="4"/>
      <c r="D105" s="4"/>
      <c r="E105" s="4"/>
      <c r="F105" s="4"/>
      <c r="G105" s="4"/>
      <c r="H105" s="4"/>
      <c r="I105" s="4"/>
      <c r="L105" s="24"/>
      <c r="M105" s="24"/>
      <c r="N105" s="24"/>
    </row>
    <row r="106" spans="1:65" x14ac:dyDescent="0.2">
      <c r="A106" s="4" t="s">
        <v>260</v>
      </c>
      <c r="B106" s="4"/>
      <c r="C106" s="4"/>
      <c r="D106" s="4"/>
      <c r="E106" s="4"/>
      <c r="F106" s="4"/>
      <c r="G106" s="4"/>
      <c r="H106" s="4"/>
      <c r="I106" s="4"/>
      <c r="L106" s="4"/>
      <c r="M106" s="23"/>
      <c r="N106" s="4"/>
    </row>
    <row r="107" spans="1:65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</row>
    <row r="108" spans="1:65" ht="19" x14ac:dyDescent="0.25">
      <c r="A108" s="21" t="s">
        <v>6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</row>
    <row r="109" spans="1:65" x14ac:dyDescent="0.2">
      <c r="A109" s="4" t="s">
        <v>261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</row>
    <row r="110" spans="1:65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</row>
    <row r="111" spans="1:65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</row>
    <row r="112" spans="1:65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</row>
    <row r="113" spans="1:65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</row>
    <row r="114" spans="1:65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</row>
    <row r="115" spans="1:65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</row>
    <row r="116" spans="1:65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</row>
    <row r="117" spans="1:65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</row>
    <row r="118" spans="1:65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</row>
    <row r="119" spans="1:65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</row>
    <row r="120" spans="1:65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</row>
    <row r="121" spans="1:65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</row>
    <row r="122" spans="1:65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</row>
    <row r="123" spans="1:65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</row>
    <row r="124" spans="1:65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</row>
    <row r="125" spans="1:65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</row>
    <row r="126" spans="1:65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</row>
    <row r="127" spans="1:65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</row>
    <row r="128" spans="1:65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</row>
    <row r="129" spans="1:65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</row>
    <row r="130" spans="1:65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</row>
    <row r="131" spans="1:65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</row>
    <row r="132" spans="1:65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</row>
    <row r="133" spans="1:65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</row>
    <row r="134" spans="1:65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</row>
    <row r="135" spans="1:65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</row>
    <row r="136" spans="1:65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</row>
    <row r="137" spans="1:65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</row>
    <row r="138" spans="1:65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</row>
    <row r="139" spans="1:65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</row>
    <row r="140" spans="1:65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</row>
    <row r="141" spans="1:65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</row>
    <row r="142" spans="1:65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</row>
    <row r="143" spans="1:65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</row>
    <row r="144" spans="1:65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</row>
    <row r="145" spans="1:65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</row>
    <row r="146" spans="1:65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</row>
    <row r="147" spans="1:65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</row>
    <row r="148" spans="1:65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</row>
    <row r="149" spans="1:65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</row>
    <row r="150" spans="1:65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</row>
    <row r="151" spans="1:65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</row>
    <row r="152" spans="1:65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</row>
    <row r="153" spans="1:65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</row>
    <row r="154" spans="1:65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</row>
    <row r="155" spans="1:65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</row>
    <row r="156" spans="1:65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</row>
    <row r="157" spans="1:65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</row>
    <row r="158" spans="1:65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</row>
    <row r="159" spans="1:65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</row>
    <row r="160" spans="1:65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</row>
    <row r="161" spans="1:65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</row>
    <row r="162" spans="1:65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</row>
    <row r="163" spans="1:65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</row>
    <row r="164" spans="1:65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</row>
    <row r="165" spans="1:65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</row>
    <row r="166" spans="1:65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</row>
    <row r="167" spans="1:65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</row>
    <row r="168" spans="1:65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</row>
    <row r="169" spans="1:65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</row>
    <row r="170" spans="1:65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</row>
    <row r="171" spans="1:65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</row>
    <row r="172" spans="1:65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</row>
    <row r="173" spans="1:65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</row>
    <row r="174" spans="1:65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</row>
    <row r="175" spans="1:65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</row>
    <row r="176" spans="1:65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</row>
    <row r="177" spans="1:65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</row>
    <row r="178" spans="1:65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</row>
    <row r="179" spans="1:65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</row>
    <row r="180" spans="1:65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</row>
    <row r="181" spans="1:65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</row>
    <row r="182" spans="1:65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</row>
    <row r="183" spans="1:65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</row>
    <row r="184" spans="1:65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</row>
    <row r="185" spans="1:65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</row>
    <row r="186" spans="1:65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</row>
    <row r="187" spans="1:65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</row>
    <row r="188" spans="1:65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</row>
    <row r="189" spans="1:65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</row>
    <row r="190" spans="1:65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</row>
    <row r="191" spans="1:65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</row>
    <row r="192" spans="1:65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</row>
    <row r="193" spans="1:65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</row>
    <row r="194" spans="1:65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</row>
    <row r="195" spans="1:65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</row>
    <row r="196" spans="1:65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</row>
    <row r="197" spans="1:65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</row>
    <row r="198" spans="1:65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</row>
    <row r="199" spans="1:65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</row>
    <row r="200" spans="1:65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</row>
    <row r="201" spans="1:65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</row>
    <row r="202" spans="1:65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</row>
  </sheetData>
  <mergeCells count="1">
    <mergeCell ref="D18:G1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5D526-6661-6C42-9AF5-A394613E081A}">
  <dimension ref="A1:BM257"/>
  <sheetViews>
    <sheetView showGridLines="0" zoomScale="120" zoomScaleNormal="120" workbookViewId="0"/>
  </sheetViews>
  <sheetFormatPr baseColWidth="10" defaultRowHeight="16" x14ac:dyDescent="0.2"/>
  <cols>
    <col min="1" max="1" width="10.83203125" style="18"/>
    <col min="2" max="10" width="10.83203125" style="18" customWidth="1"/>
    <col min="11" max="16384" width="10.83203125" style="18"/>
  </cols>
  <sheetData>
    <row r="1" spans="1:10" ht="19" x14ac:dyDescent="0.25">
      <c r="A1" s="16" t="s">
        <v>262</v>
      </c>
      <c r="B1" s="17"/>
      <c r="C1" s="17"/>
      <c r="D1" s="17"/>
      <c r="E1" s="17"/>
      <c r="F1" s="17"/>
      <c r="G1" s="17"/>
      <c r="H1" s="17"/>
      <c r="I1" s="17"/>
      <c r="J1" s="1"/>
    </row>
    <row r="2" spans="1:10" x14ac:dyDescent="0.2">
      <c r="A2" s="19"/>
      <c r="B2" s="17"/>
      <c r="C2" s="17"/>
      <c r="D2" s="17"/>
      <c r="E2" s="17"/>
      <c r="F2" s="17"/>
      <c r="G2" s="17"/>
      <c r="H2" s="17"/>
      <c r="I2" s="17"/>
      <c r="J2" s="1"/>
    </row>
    <row r="3" spans="1:10" ht="19" x14ac:dyDescent="0.25">
      <c r="A3" s="19"/>
      <c r="B3" s="136" t="s">
        <v>8</v>
      </c>
      <c r="C3" s="17"/>
      <c r="D3" s="17"/>
      <c r="E3" s="17"/>
      <c r="F3" s="17"/>
      <c r="G3" s="17"/>
      <c r="H3" s="17"/>
      <c r="I3" s="17"/>
      <c r="J3" s="1"/>
    </row>
    <row r="4" spans="1:10" x14ac:dyDescent="0.2">
      <c r="A4" s="19"/>
      <c r="B4" s="184" t="s">
        <v>452</v>
      </c>
      <c r="C4" s="17"/>
      <c r="D4" s="17"/>
      <c r="E4" s="17"/>
      <c r="F4" s="17"/>
      <c r="G4" s="17"/>
      <c r="H4" s="17"/>
      <c r="I4" s="17"/>
      <c r="J4" s="1"/>
    </row>
    <row r="5" spans="1:10" x14ac:dyDescent="0.2">
      <c r="A5" s="19"/>
      <c r="B5" s="17"/>
      <c r="C5" s="17"/>
      <c r="D5" s="17"/>
      <c r="E5" s="17"/>
      <c r="F5" s="17"/>
      <c r="G5" s="17"/>
      <c r="H5" s="17"/>
      <c r="I5" s="17"/>
      <c r="J5" s="1"/>
    </row>
    <row r="6" spans="1:10" x14ac:dyDescent="0.2">
      <c r="A6" s="19"/>
      <c r="B6" s="90"/>
      <c r="C6" s="210" t="s">
        <v>264</v>
      </c>
      <c r="D6" s="210"/>
      <c r="E6" s="17"/>
      <c r="F6" s="210" t="s">
        <v>263</v>
      </c>
      <c r="G6" s="210"/>
      <c r="H6" s="88"/>
      <c r="I6" s="88"/>
      <c r="J6" s="1"/>
    </row>
    <row r="7" spans="1:10" ht="30" customHeight="1" x14ac:dyDescent="0.2">
      <c r="A7" s="19"/>
      <c r="B7" s="90"/>
      <c r="C7" s="3" t="s">
        <v>25</v>
      </c>
      <c r="D7" s="137" t="s">
        <v>26</v>
      </c>
      <c r="E7" s="17"/>
      <c r="F7" s="3" t="s">
        <v>25</v>
      </c>
      <c r="G7" s="137" t="s">
        <v>26</v>
      </c>
      <c r="H7" s="88"/>
      <c r="I7" s="88"/>
      <c r="J7" s="1"/>
    </row>
    <row r="8" spans="1:10" x14ac:dyDescent="0.2">
      <c r="A8" s="19"/>
      <c r="B8" s="90"/>
      <c r="C8" s="2">
        <v>1</v>
      </c>
      <c r="D8" s="82">
        <v>400</v>
      </c>
      <c r="E8" s="82"/>
      <c r="F8" s="2">
        <v>2</v>
      </c>
      <c r="G8" s="82">
        <v>750</v>
      </c>
      <c r="H8" s="88"/>
      <c r="I8" s="88"/>
      <c r="J8" s="1"/>
    </row>
    <row r="9" spans="1:10" x14ac:dyDescent="0.2">
      <c r="A9" s="19"/>
      <c r="B9" s="90"/>
      <c r="C9" s="2">
        <v>3</v>
      </c>
      <c r="D9" s="82">
        <v>500</v>
      </c>
      <c r="E9" s="82"/>
      <c r="F9" s="2">
        <v>3</v>
      </c>
      <c r="G9" s="82">
        <v>500</v>
      </c>
      <c r="H9" s="88"/>
      <c r="I9" s="88"/>
      <c r="J9" s="1"/>
    </row>
    <row r="10" spans="1:10" x14ac:dyDescent="0.2">
      <c r="A10" s="19"/>
      <c r="B10" s="90"/>
      <c r="C10" s="2">
        <v>4</v>
      </c>
      <c r="D10" s="82">
        <v>1250</v>
      </c>
      <c r="E10" s="82"/>
      <c r="F10" s="2">
        <v>5</v>
      </c>
      <c r="G10" s="82">
        <v>2500</v>
      </c>
      <c r="H10" s="88"/>
      <c r="I10" s="88"/>
      <c r="J10" s="1"/>
    </row>
    <row r="11" spans="1:10" x14ac:dyDescent="0.2">
      <c r="A11" s="19"/>
      <c r="B11" s="90"/>
      <c r="C11" s="2">
        <v>6</v>
      </c>
      <c r="D11" s="82">
        <v>400</v>
      </c>
      <c r="E11" s="82"/>
      <c r="F11" s="2">
        <v>6</v>
      </c>
      <c r="G11" s="82">
        <v>250</v>
      </c>
      <c r="H11" s="88"/>
      <c r="I11" s="88"/>
      <c r="J11" s="1"/>
    </row>
    <row r="12" spans="1:10" x14ac:dyDescent="0.2">
      <c r="A12" s="19"/>
      <c r="B12" s="90"/>
      <c r="C12" s="2">
        <v>7</v>
      </c>
      <c r="D12" s="82">
        <v>125</v>
      </c>
      <c r="E12" s="82"/>
      <c r="F12" s="2">
        <v>8</v>
      </c>
      <c r="G12" s="82">
        <v>100</v>
      </c>
      <c r="H12" s="88"/>
      <c r="I12" s="88"/>
      <c r="J12" s="1"/>
    </row>
    <row r="13" spans="1:10" x14ac:dyDescent="0.2">
      <c r="A13" s="19"/>
      <c r="B13" s="90"/>
      <c r="C13" s="2">
        <v>9</v>
      </c>
      <c r="D13" s="82">
        <v>800</v>
      </c>
      <c r="E13" s="82"/>
      <c r="F13" s="2">
        <v>11</v>
      </c>
      <c r="G13" s="82">
        <v>1150</v>
      </c>
      <c r="H13" s="88"/>
      <c r="I13" s="88"/>
      <c r="J13" s="1"/>
    </row>
    <row r="14" spans="1:10" x14ac:dyDescent="0.2">
      <c r="A14" s="19"/>
      <c r="B14" s="90"/>
      <c r="C14" s="2">
        <v>10</v>
      </c>
      <c r="D14" s="82">
        <v>25</v>
      </c>
      <c r="E14" s="82"/>
      <c r="F14" s="2">
        <v>12</v>
      </c>
      <c r="G14" s="82">
        <v>350</v>
      </c>
      <c r="H14" s="88"/>
      <c r="I14" s="88"/>
      <c r="J14" s="1"/>
    </row>
    <row r="15" spans="1:10" x14ac:dyDescent="0.2">
      <c r="A15" s="19"/>
      <c r="B15" s="90"/>
      <c r="C15" s="2">
        <v>12</v>
      </c>
      <c r="D15" s="82">
        <v>185</v>
      </c>
      <c r="E15" s="82"/>
      <c r="F15" s="2">
        <v>14</v>
      </c>
      <c r="G15" s="82">
        <v>1500</v>
      </c>
      <c r="H15" s="88"/>
      <c r="I15" s="88"/>
      <c r="J15" s="1"/>
    </row>
    <row r="16" spans="1:10" x14ac:dyDescent="0.2">
      <c r="A16" s="19"/>
      <c r="B16" s="90"/>
      <c r="C16" s="2">
        <v>13</v>
      </c>
      <c r="D16" s="82">
        <v>450</v>
      </c>
      <c r="E16" s="82"/>
      <c r="F16" s="2">
        <v>15</v>
      </c>
      <c r="G16" s="82">
        <v>400</v>
      </c>
      <c r="H16" s="88"/>
      <c r="I16" s="88"/>
      <c r="J16" s="1"/>
    </row>
    <row r="17" spans="1:10" x14ac:dyDescent="0.2">
      <c r="A17" s="19"/>
      <c r="B17" s="90"/>
      <c r="C17" s="90"/>
      <c r="D17" s="5"/>
      <c r="E17" s="5"/>
      <c r="F17" s="5"/>
      <c r="G17" s="5"/>
      <c r="H17" s="5"/>
      <c r="I17" s="88"/>
      <c r="J17" s="1"/>
    </row>
    <row r="18" spans="1:10" x14ac:dyDescent="0.2">
      <c r="A18" s="19"/>
      <c r="B18" s="17" t="s">
        <v>268</v>
      </c>
      <c r="C18" s="17"/>
      <c r="D18" s="17"/>
      <c r="E18" s="17"/>
      <c r="F18" s="17"/>
      <c r="G18" s="17"/>
      <c r="H18" s="17"/>
      <c r="I18" s="17"/>
      <c r="J18" s="1"/>
    </row>
    <row r="19" spans="1:10" x14ac:dyDescent="0.2">
      <c r="A19" s="19"/>
      <c r="B19" s="17"/>
      <c r="C19" s="17"/>
      <c r="D19" s="17"/>
      <c r="E19" s="17"/>
      <c r="F19" s="17"/>
      <c r="G19" s="17"/>
      <c r="H19" s="17"/>
      <c r="I19" s="17"/>
      <c r="J19" s="1"/>
    </row>
    <row r="20" spans="1:10" x14ac:dyDescent="0.2">
      <c r="A20" s="19"/>
      <c r="B20" s="17"/>
      <c r="C20" s="17"/>
      <c r="D20" s="27" t="s">
        <v>265</v>
      </c>
      <c r="E20" s="33">
        <v>250000</v>
      </c>
      <c r="F20" s="17"/>
      <c r="G20" s="17"/>
      <c r="H20" s="17"/>
      <c r="I20" s="17"/>
      <c r="J20" s="1"/>
    </row>
    <row r="21" spans="1:10" x14ac:dyDescent="0.2">
      <c r="A21" s="19"/>
      <c r="B21" s="17"/>
      <c r="C21" s="17"/>
      <c r="D21" s="27" t="s">
        <v>266</v>
      </c>
      <c r="E21" s="33">
        <v>1000000</v>
      </c>
      <c r="F21" s="17"/>
      <c r="G21" s="17"/>
      <c r="H21" s="17"/>
      <c r="I21" s="17"/>
      <c r="J21" s="1"/>
    </row>
    <row r="22" spans="1:10" x14ac:dyDescent="0.2">
      <c r="A22" s="19"/>
      <c r="B22" s="17"/>
      <c r="C22" s="17"/>
      <c r="D22" s="17"/>
      <c r="E22" s="17"/>
      <c r="F22" s="17"/>
      <c r="G22" s="17"/>
      <c r="H22" s="17"/>
      <c r="I22" s="17"/>
      <c r="J22" s="1"/>
    </row>
    <row r="23" spans="1:10" x14ac:dyDescent="0.2">
      <c r="A23" s="19"/>
      <c r="B23" s="17" t="s">
        <v>269</v>
      </c>
      <c r="C23" s="17"/>
      <c r="D23" s="17"/>
      <c r="E23" s="17"/>
      <c r="F23" s="17"/>
      <c r="G23" s="17"/>
      <c r="H23" s="17"/>
      <c r="I23" s="17"/>
      <c r="J23" s="1"/>
    </row>
    <row r="24" spans="1:10" x14ac:dyDescent="0.2">
      <c r="A24" s="19"/>
      <c r="B24" s="17"/>
      <c r="C24" s="17"/>
      <c r="D24" s="17"/>
      <c r="E24" s="17"/>
      <c r="F24" s="17"/>
      <c r="G24" s="17"/>
      <c r="H24" s="17"/>
      <c r="I24" s="17"/>
      <c r="J24" s="1"/>
    </row>
    <row r="25" spans="1:10" x14ac:dyDescent="0.2">
      <c r="A25" s="19"/>
      <c r="B25" s="17"/>
      <c r="C25" s="17"/>
      <c r="D25" s="27" t="s">
        <v>267</v>
      </c>
      <c r="E25" s="33">
        <v>250000</v>
      </c>
      <c r="F25" s="17"/>
      <c r="G25" s="17"/>
      <c r="H25" s="17"/>
      <c r="I25" s="17"/>
      <c r="J25" s="1"/>
    </row>
    <row r="26" spans="1:10" x14ac:dyDescent="0.2">
      <c r="A26" s="19"/>
      <c r="B26" s="17"/>
      <c r="C26" s="17"/>
      <c r="D26" s="27" t="s">
        <v>266</v>
      </c>
      <c r="E26" s="33">
        <v>1000000</v>
      </c>
      <c r="F26" s="17"/>
      <c r="G26" s="17"/>
      <c r="H26" s="17"/>
      <c r="I26" s="17"/>
      <c r="J26" s="1"/>
    </row>
    <row r="27" spans="1:10" x14ac:dyDescent="0.2">
      <c r="A27" s="19"/>
      <c r="B27" s="17"/>
      <c r="C27" s="17"/>
      <c r="D27" s="27"/>
      <c r="E27" s="33"/>
      <c r="F27" s="17"/>
      <c r="G27" s="17"/>
      <c r="H27" s="17"/>
      <c r="I27" s="17"/>
      <c r="J27" s="1"/>
    </row>
    <row r="28" spans="1:10" x14ac:dyDescent="0.2">
      <c r="A28" s="19"/>
      <c r="B28" s="17" t="s">
        <v>280</v>
      </c>
      <c r="C28" s="17"/>
      <c r="D28" s="27"/>
      <c r="E28" s="33"/>
      <c r="F28" s="17"/>
      <c r="G28" s="17"/>
      <c r="H28" s="17"/>
      <c r="I28" s="17"/>
      <c r="J28" s="1"/>
    </row>
    <row r="29" spans="1:10" x14ac:dyDescent="0.2">
      <c r="A29" s="19"/>
      <c r="B29" s="17"/>
      <c r="C29" s="17"/>
      <c r="D29" s="27"/>
      <c r="E29" s="33"/>
      <c r="F29" s="17"/>
      <c r="G29" s="17"/>
      <c r="H29" s="17"/>
      <c r="I29" s="17"/>
      <c r="J29" s="1"/>
    </row>
    <row r="30" spans="1:10" x14ac:dyDescent="0.2">
      <c r="A30" s="19"/>
      <c r="B30" s="17"/>
      <c r="C30" s="17"/>
      <c r="D30" s="27" t="s">
        <v>194</v>
      </c>
      <c r="E30" s="33">
        <v>500000</v>
      </c>
      <c r="F30" s="17"/>
      <c r="G30" s="17"/>
      <c r="H30" s="17"/>
      <c r="I30" s="17"/>
      <c r="J30" s="1"/>
    </row>
    <row r="31" spans="1:10" x14ac:dyDescent="0.2">
      <c r="A31" s="19"/>
      <c r="B31" s="17"/>
      <c r="C31" s="17"/>
      <c r="D31" s="27" t="s">
        <v>195</v>
      </c>
      <c r="E31" s="33">
        <v>5000000</v>
      </c>
      <c r="F31" s="17"/>
      <c r="G31" s="17"/>
      <c r="H31" s="17"/>
      <c r="I31" s="17"/>
      <c r="J31" s="1"/>
    </row>
    <row r="32" spans="1:10" x14ac:dyDescent="0.2">
      <c r="A32" s="19"/>
      <c r="B32" s="17"/>
      <c r="C32" s="17"/>
      <c r="D32" s="27"/>
      <c r="E32" s="33"/>
      <c r="F32" s="17"/>
      <c r="G32" s="17"/>
      <c r="H32" s="17"/>
      <c r="I32" s="17"/>
      <c r="J32" s="1"/>
    </row>
    <row r="33" spans="1:10" x14ac:dyDescent="0.2">
      <c r="A33" s="19"/>
      <c r="B33" s="17" t="s">
        <v>286</v>
      </c>
      <c r="C33" s="17"/>
      <c r="D33" s="27"/>
      <c r="E33" s="33"/>
      <c r="F33" s="17"/>
      <c r="G33" s="17"/>
      <c r="H33" s="17"/>
      <c r="I33" s="17"/>
      <c r="J33" s="1"/>
    </row>
    <row r="34" spans="1:10" x14ac:dyDescent="0.2">
      <c r="A34" s="19"/>
      <c r="B34" s="17" t="s">
        <v>287</v>
      </c>
      <c r="C34" s="17"/>
      <c r="D34" s="27"/>
      <c r="E34" s="33"/>
      <c r="F34" s="17"/>
      <c r="G34" s="17"/>
      <c r="H34" s="17"/>
      <c r="I34" s="17"/>
      <c r="J34" s="1"/>
    </row>
    <row r="35" spans="1:10" x14ac:dyDescent="0.2">
      <c r="A35" s="19"/>
      <c r="B35" s="17"/>
      <c r="C35" s="17"/>
      <c r="D35" s="27"/>
      <c r="E35" s="33"/>
      <c r="F35" s="17"/>
      <c r="G35" s="17"/>
      <c r="H35" s="17"/>
      <c r="I35" s="17"/>
      <c r="J35" s="1"/>
    </row>
    <row r="36" spans="1:10" x14ac:dyDescent="0.2">
      <c r="A36" s="19"/>
      <c r="B36" s="17" t="s">
        <v>0</v>
      </c>
      <c r="C36" s="17"/>
      <c r="D36" s="17"/>
      <c r="E36" s="17"/>
      <c r="F36" s="17"/>
      <c r="G36" s="17"/>
      <c r="H36" s="17"/>
      <c r="I36" s="17"/>
      <c r="J36" s="1"/>
    </row>
    <row r="37" spans="1:10" x14ac:dyDescent="0.2">
      <c r="A37" s="19"/>
      <c r="B37" s="17" t="s">
        <v>270</v>
      </c>
      <c r="C37" s="17"/>
      <c r="D37" s="17"/>
      <c r="E37" s="17"/>
      <c r="F37" s="17"/>
      <c r="G37" s="17"/>
      <c r="H37" s="17"/>
      <c r="I37" s="17"/>
      <c r="J37" s="1"/>
    </row>
    <row r="38" spans="1:10" x14ac:dyDescent="0.2">
      <c r="A38" s="19"/>
      <c r="B38" s="17"/>
      <c r="C38" s="17"/>
      <c r="D38" s="17"/>
      <c r="E38" s="17"/>
      <c r="F38" s="17"/>
      <c r="G38" s="17"/>
      <c r="H38" s="17"/>
      <c r="I38" s="17"/>
      <c r="J38" s="1"/>
    </row>
    <row r="39" spans="1:10" x14ac:dyDescent="0.2">
      <c r="A39" s="19"/>
      <c r="B39" s="17" t="s">
        <v>1</v>
      </c>
      <c r="C39" s="17"/>
      <c r="D39" s="17"/>
      <c r="E39" s="17"/>
      <c r="F39" s="17"/>
      <c r="G39" s="17"/>
      <c r="H39" s="17"/>
      <c r="I39" s="17"/>
      <c r="J39" s="1"/>
    </row>
    <row r="40" spans="1:10" x14ac:dyDescent="0.2">
      <c r="A40" s="19"/>
      <c r="B40" s="17" t="s">
        <v>279</v>
      </c>
      <c r="C40" s="17"/>
      <c r="D40" s="17"/>
      <c r="E40" s="17"/>
      <c r="F40" s="17"/>
      <c r="G40" s="17"/>
      <c r="H40" s="17"/>
      <c r="I40" s="17"/>
      <c r="J40" s="1"/>
    </row>
    <row r="41" spans="1:10" x14ac:dyDescent="0.2">
      <c r="A41" s="19"/>
      <c r="B41" s="17"/>
      <c r="C41" s="17"/>
      <c r="D41" s="17"/>
      <c r="E41" s="17"/>
      <c r="F41" s="17"/>
      <c r="G41" s="17"/>
      <c r="H41" s="17"/>
      <c r="I41" s="17"/>
      <c r="J41" s="1"/>
    </row>
    <row r="42" spans="1:10" x14ac:dyDescent="0.2">
      <c r="A42" s="19"/>
      <c r="B42" s="17" t="s">
        <v>2</v>
      </c>
      <c r="C42" s="17"/>
      <c r="D42" s="17"/>
      <c r="E42" s="17"/>
      <c r="F42" s="17"/>
      <c r="G42" s="17"/>
      <c r="H42" s="17"/>
      <c r="I42" s="17"/>
      <c r="J42" s="1"/>
    </row>
    <row r="43" spans="1:10" x14ac:dyDescent="0.2">
      <c r="A43" s="19"/>
      <c r="B43" s="17" t="s">
        <v>272</v>
      </c>
      <c r="C43" s="17"/>
      <c r="D43" s="17"/>
      <c r="E43" s="17"/>
      <c r="F43" s="17"/>
      <c r="G43" s="17"/>
      <c r="H43" s="17"/>
      <c r="I43" s="17"/>
      <c r="J43" s="1"/>
    </row>
    <row r="44" spans="1:10" ht="17" thickBot="1" x14ac:dyDescent="0.25">
      <c r="A44" s="20"/>
      <c r="B44" s="6"/>
      <c r="C44" s="64"/>
      <c r="D44" s="64"/>
      <c r="E44" s="64"/>
      <c r="F44" s="6"/>
      <c r="G44" s="6"/>
      <c r="H44" s="6"/>
      <c r="I44" s="6"/>
      <c r="J44" s="7"/>
    </row>
    <row r="45" spans="1:10" x14ac:dyDescent="0.2">
      <c r="A45" s="4"/>
      <c r="B45" s="4"/>
      <c r="C45" s="4"/>
      <c r="D45" s="4"/>
      <c r="E45" s="4"/>
      <c r="F45" s="4"/>
      <c r="G45" s="4"/>
      <c r="H45" s="4"/>
      <c r="I45" s="4"/>
    </row>
    <row r="46" spans="1:10" ht="19" x14ac:dyDescent="0.25">
      <c r="A46" s="21" t="s">
        <v>3</v>
      </c>
      <c r="B46" s="4"/>
      <c r="C46" s="4"/>
      <c r="D46" s="4"/>
      <c r="E46" s="4"/>
      <c r="F46" s="4"/>
      <c r="G46" s="4"/>
      <c r="H46" s="4"/>
      <c r="I46" s="4"/>
    </row>
    <row r="47" spans="1:10" x14ac:dyDescent="0.2">
      <c r="A47" s="22"/>
      <c r="B47" s="4" t="s">
        <v>0</v>
      </c>
      <c r="C47" s="23"/>
      <c r="D47" s="4"/>
      <c r="E47" s="4"/>
      <c r="F47" s="4"/>
      <c r="G47" s="4"/>
      <c r="H47" s="4"/>
      <c r="I47" s="4"/>
    </row>
    <row r="48" spans="1:10" x14ac:dyDescent="0.2">
      <c r="A48" s="4"/>
      <c r="B48" s="4" t="s">
        <v>271</v>
      </c>
      <c r="C48" s="4"/>
      <c r="D48" s="4"/>
      <c r="E48" s="4"/>
      <c r="F48" s="4"/>
      <c r="G48" s="4"/>
      <c r="H48" s="4"/>
      <c r="I48" s="4"/>
    </row>
    <row r="49" spans="1:12" x14ac:dyDescent="0.2">
      <c r="A49" s="4"/>
      <c r="B49" s="91" t="s">
        <v>274</v>
      </c>
      <c r="C49" s="4"/>
      <c r="D49" s="4"/>
      <c r="E49" s="4"/>
      <c r="F49" s="4"/>
      <c r="G49" s="4"/>
      <c r="H49" s="4"/>
      <c r="I49" s="4"/>
      <c r="L49" s="24"/>
    </row>
    <row r="50" spans="1:12" x14ac:dyDescent="0.2">
      <c r="A50" s="4"/>
      <c r="B50" s="4"/>
      <c r="C50" s="4"/>
      <c r="D50" s="4"/>
      <c r="E50" s="4"/>
      <c r="F50" s="4"/>
      <c r="G50" s="4"/>
      <c r="H50" s="4"/>
      <c r="I50" s="4"/>
      <c r="L50" s="24"/>
    </row>
    <row r="51" spans="1:12" x14ac:dyDescent="0.2">
      <c r="A51" s="4"/>
      <c r="C51" s="239" t="s">
        <v>264</v>
      </c>
      <c r="D51" s="239"/>
      <c r="E51" s="92"/>
      <c r="F51" s="239" t="s">
        <v>263</v>
      </c>
      <c r="G51" s="239"/>
      <c r="J51" s="24"/>
    </row>
    <row r="52" spans="1:12" x14ac:dyDescent="0.2">
      <c r="A52" s="4"/>
      <c r="C52" s="83"/>
      <c r="D52" s="83"/>
      <c r="E52" s="92"/>
      <c r="F52" s="83"/>
      <c r="G52" s="83"/>
      <c r="J52" s="24"/>
    </row>
    <row r="53" spans="1:12" ht="34" customHeight="1" x14ac:dyDescent="0.2">
      <c r="A53" s="4"/>
      <c r="C53" s="37" t="s">
        <v>25</v>
      </c>
      <c r="D53" s="138" t="s">
        <v>26</v>
      </c>
      <c r="E53" s="92"/>
      <c r="F53" s="37" t="s">
        <v>25</v>
      </c>
      <c r="G53" s="138" t="s">
        <v>26</v>
      </c>
      <c r="J53" s="24"/>
    </row>
    <row r="54" spans="1:12" x14ac:dyDescent="0.2">
      <c r="A54" s="4"/>
      <c r="C54" s="50">
        <v>1</v>
      </c>
      <c r="D54" s="83">
        <f t="shared" ref="D54:D62" si="0">MAX(0,MIN(E$21/1000,D8)-E$20/1000)</f>
        <v>150</v>
      </c>
      <c r="E54" s="83"/>
      <c r="F54" s="50">
        <v>2</v>
      </c>
      <c r="G54" s="83">
        <f t="shared" ref="G54:G62" si="1">MAX(0,MIN(E$21/1000,G8)-E$20/1000)</f>
        <v>500</v>
      </c>
      <c r="J54" s="24"/>
    </row>
    <row r="55" spans="1:12" x14ac:dyDescent="0.2">
      <c r="A55" s="4"/>
      <c r="C55" s="50">
        <v>3</v>
      </c>
      <c r="D55" s="83">
        <f t="shared" si="0"/>
        <v>250</v>
      </c>
      <c r="E55" s="83"/>
      <c r="F55" s="50">
        <v>3</v>
      </c>
      <c r="G55" s="83">
        <f t="shared" si="1"/>
        <v>250</v>
      </c>
      <c r="J55" s="24"/>
    </row>
    <row r="56" spans="1:12" x14ac:dyDescent="0.2">
      <c r="A56" s="4"/>
      <c r="C56" s="50">
        <v>4</v>
      </c>
      <c r="D56" s="83">
        <f t="shared" si="0"/>
        <v>750</v>
      </c>
      <c r="E56" s="83"/>
      <c r="F56" s="50">
        <v>5</v>
      </c>
      <c r="G56" s="83">
        <f t="shared" si="1"/>
        <v>750</v>
      </c>
      <c r="J56" s="24"/>
    </row>
    <row r="57" spans="1:12" x14ac:dyDescent="0.2">
      <c r="A57" s="4"/>
      <c r="C57" s="50">
        <v>6</v>
      </c>
      <c r="D57" s="83">
        <f t="shared" si="0"/>
        <v>150</v>
      </c>
      <c r="E57" s="83"/>
      <c r="F57" s="50">
        <v>6</v>
      </c>
      <c r="G57" s="83">
        <f t="shared" si="1"/>
        <v>0</v>
      </c>
      <c r="J57" s="24"/>
    </row>
    <row r="58" spans="1:12" x14ac:dyDescent="0.2">
      <c r="A58" s="4"/>
      <c r="C58" s="50">
        <v>7</v>
      </c>
      <c r="D58" s="83">
        <f t="shared" si="0"/>
        <v>0</v>
      </c>
      <c r="E58" s="83"/>
      <c r="F58" s="50">
        <v>8</v>
      </c>
      <c r="G58" s="83">
        <f t="shared" si="1"/>
        <v>0</v>
      </c>
      <c r="J58" s="24"/>
    </row>
    <row r="59" spans="1:12" x14ac:dyDescent="0.2">
      <c r="A59" s="4"/>
      <c r="C59" s="50">
        <v>9</v>
      </c>
      <c r="D59" s="83">
        <f t="shared" si="0"/>
        <v>550</v>
      </c>
      <c r="E59" s="83"/>
      <c r="F59" s="50">
        <v>11</v>
      </c>
      <c r="G59" s="83">
        <f t="shared" si="1"/>
        <v>750</v>
      </c>
      <c r="J59" s="24"/>
    </row>
    <row r="60" spans="1:12" x14ac:dyDescent="0.2">
      <c r="A60" s="4"/>
      <c r="C60" s="50">
        <v>10</v>
      </c>
      <c r="D60" s="83">
        <f t="shared" si="0"/>
        <v>0</v>
      </c>
      <c r="E60" s="83"/>
      <c r="F60" s="50">
        <v>12</v>
      </c>
      <c r="G60" s="83">
        <f t="shared" si="1"/>
        <v>100</v>
      </c>
      <c r="J60" s="24"/>
    </row>
    <row r="61" spans="1:12" x14ac:dyDescent="0.2">
      <c r="A61" s="4"/>
      <c r="C61" s="50">
        <v>12</v>
      </c>
      <c r="D61" s="83">
        <f t="shared" si="0"/>
        <v>0</v>
      </c>
      <c r="E61" s="83"/>
      <c r="F61" s="50">
        <v>14</v>
      </c>
      <c r="G61" s="83">
        <f t="shared" si="1"/>
        <v>750</v>
      </c>
      <c r="J61" s="24"/>
    </row>
    <row r="62" spans="1:12" x14ac:dyDescent="0.2">
      <c r="A62" s="4"/>
      <c r="C62" s="50">
        <v>13</v>
      </c>
      <c r="D62" s="83">
        <f t="shared" si="0"/>
        <v>200</v>
      </c>
      <c r="E62" s="83"/>
      <c r="F62" s="50">
        <v>15</v>
      </c>
      <c r="G62" s="83">
        <f t="shared" si="1"/>
        <v>150</v>
      </c>
      <c r="J62" s="24"/>
    </row>
    <row r="63" spans="1:12" x14ac:dyDescent="0.2">
      <c r="A63" s="4"/>
      <c r="B63" s="4"/>
      <c r="C63" s="4"/>
      <c r="D63" s="4"/>
      <c r="E63" s="4"/>
      <c r="F63" s="4"/>
      <c r="G63" s="4"/>
      <c r="H63" s="4"/>
      <c r="I63" s="4"/>
      <c r="L63" s="24"/>
    </row>
    <row r="64" spans="1:12" x14ac:dyDescent="0.2">
      <c r="A64" s="4"/>
      <c r="B64" s="151" t="s">
        <v>275</v>
      </c>
      <c r="C64" s="152">
        <f>SUM(D54:D62,G54:G62)*1000</f>
        <v>5300000</v>
      </c>
      <c r="D64" s="4"/>
      <c r="E64" s="4"/>
      <c r="F64" s="4"/>
      <c r="G64" s="4"/>
      <c r="H64" s="4"/>
      <c r="I64" s="4"/>
      <c r="L64" s="24"/>
    </row>
    <row r="65" spans="1:12" x14ac:dyDescent="0.2">
      <c r="A65" s="4"/>
      <c r="B65" s="4"/>
      <c r="C65" s="4"/>
      <c r="D65" s="4"/>
      <c r="E65" s="4"/>
      <c r="F65" s="4"/>
      <c r="G65" s="4"/>
      <c r="H65" s="4"/>
      <c r="I65" s="4"/>
      <c r="L65" s="24"/>
    </row>
    <row r="66" spans="1:12" x14ac:dyDescent="0.2">
      <c r="A66" s="4"/>
      <c r="B66" s="4" t="s">
        <v>273</v>
      </c>
      <c r="C66" s="4"/>
      <c r="D66" s="4"/>
      <c r="E66" s="4"/>
      <c r="F66" s="4"/>
      <c r="G66" s="4"/>
      <c r="H66" s="4"/>
      <c r="I66" s="4"/>
      <c r="L66" s="24"/>
    </row>
    <row r="67" spans="1:12" x14ac:dyDescent="0.2">
      <c r="A67" s="4"/>
      <c r="B67" s="4"/>
      <c r="C67" s="4"/>
      <c r="D67" s="4"/>
      <c r="E67" s="4"/>
      <c r="F67" s="4"/>
      <c r="G67" s="4"/>
      <c r="H67" s="4"/>
      <c r="I67" s="4"/>
      <c r="L67" s="24"/>
    </row>
    <row r="68" spans="1:12" x14ac:dyDescent="0.2">
      <c r="A68" s="4"/>
      <c r="B68" s="4"/>
      <c r="C68" s="239" t="s">
        <v>264</v>
      </c>
      <c r="D68" s="239"/>
      <c r="E68" s="92"/>
      <c r="F68" s="239" t="s">
        <v>263</v>
      </c>
      <c r="G68" s="239"/>
      <c r="J68" s="24"/>
    </row>
    <row r="69" spans="1:12" x14ac:dyDescent="0.2">
      <c r="A69" s="4"/>
      <c r="B69" s="4"/>
      <c r="C69" s="83"/>
      <c r="D69" s="83"/>
      <c r="E69" s="92"/>
      <c r="F69" s="83"/>
      <c r="G69" s="83"/>
      <c r="J69" s="24"/>
    </row>
    <row r="70" spans="1:12" ht="51" x14ac:dyDescent="0.2">
      <c r="A70" s="4"/>
      <c r="B70" s="4"/>
      <c r="C70" s="37" t="s">
        <v>25</v>
      </c>
      <c r="D70" s="138" t="s">
        <v>26</v>
      </c>
      <c r="E70" s="92"/>
      <c r="F70" s="37" t="s">
        <v>25</v>
      </c>
      <c r="G70" s="138" t="s">
        <v>26</v>
      </c>
      <c r="J70" s="24"/>
    </row>
    <row r="71" spans="1:12" x14ac:dyDescent="0.2">
      <c r="A71" s="4"/>
      <c r="B71" s="4"/>
      <c r="C71" s="50">
        <v>1</v>
      </c>
      <c r="D71" s="83">
        <f t="shared" ref="D71:D79" si="2">MAX(0,MIN($E$26/1000,D8-$E$25/1000))</f>
        <v>150</v>
      </c>
      <c r="E71" s="83"/>
      <c r="F71" s="50">
        <v>2</v>
      </c>
      <c r="G71" s="83">
        <f t="shared" ref="G71:G79" si="3">MAX(0,MIN($E$26/1000,G8-$E$25/1000))</f>
        <v>500</v>
      </c>
      <c r="J71" s="24"/>
    </row>
    <row r="72" spans="1:12" x14ac:dyDescent="0.2">
      <c r="A72" s="4"/>
      <c r="B72" s="4"/>
      <c r="C72" s="50">
        <v>3</v>
      </c>
      <c r="D72" s="83">
        <f t="shared" si="2"/>
        <v>250</v>
      </c>
      <c r="E72" s="83"/>
      <c r="F72" s="50">
        <v>3</v>
      </c>
      <c r="G72" s="83">
        <f t="shared" si="3"/>
        <v>250</v>
      </c>
      <c r="J72" s="24"/>
    </row>
    <row r="73" spans="1:12" x14ac:dyDescent="0.2">
      <c r="A73" s="4"/>
      <c r="B73" s="4"/>
      <c r="C73" s="50">
        <v>4</v>
      </c>
      <c r="D73" s="83">
        <f t="shared" si="2"/>
        <v>1000</v>
      </c>
      <c r="E73" s="83"/>
      <c r="F73" s="50">
        <v>5</v>
      </c>
      <c r="G73" s="83">
        <f t="shared" si="3"/>
        <v>1000</v>
      </c>
      <c r="J73" s="24"/>
    </row>
    <row r="74" spans="1:12" x14ac:dyDescent="0.2">
      <c r="A74" s="4"/>
      <c r="B74" s="4"/>
      <c r="C74" s="50">
        <v>6</v>
      </c>
      <c r="D74" s="83">
        <f t="shared" si="2"/>
        <v>150</v>
      </c>
      <c r="E74" s="83"/>
      <c r="F74" s="50">
        <v>6</v>
      </c>
      <c r="G74" s="83">
        <f t="shared" si="3"/>
        <v>0</v>
      </c>
      <c r="J74" s="24"/>
    </row>
    <row r="75" spans="1:12" x14ac:dyDescent="0.2">
      <c r="A75" s="4"/>
      <c r="B75" s="4"/>
      <c r="C75" s="50">
        <v>7</v>
      </c>
      <c r="D75" s="83">
        <f t="shared" si="2"/>
        <v>0</v>
      </c>
      <c r="E75" s="83"/>
      <c r="F75" s="50">
        <v>8</v>
      </c>
      <c r="G75" s="83">
        <f t="shared" si="3"/>
        <v>0</v>
      </c>
      <c r="J75" s="24"/>
    </row>
    <row r="76" spans="1:12" x14ac:dyDescent="0.2">
      <c r="A76" s="4"/>
      <c r="B76" s="4"/>
      <c r="C76" s="50">
        <v>9</v>
      </c>
      <c r="D76" s="83">
        <f t="shared" si="2"/>
        <v>550</v>
      </c>
      <c r="E76" s="83"/>
      <c r="F76" s="50">
        <v>11</v>
      </c>
      <c r="G76" s="83">
        <f t="shared" si="3"/>
        <v>900</v>
      </c>
      <c r="J76" s="24"/>
    </row>
    <row r="77" spans="1:12" x14ac:dyDescent="0.2">
      <c r="A77" s="4"/>
      <c r="B77" s="4"/>
      <c r="C77" s="50">
        <v>10</v>
      </c>
      <c r="D77" s="83">
        <f t="shared" si="2"/>
        <v>0</v>
      </c>
      <c r="E77" s="83"/>
      <c r="F77" s="50">
        <v>12</v>
      </c>
      <c r="G77" s="83">
        <f t="shared" si="3"/>
        <v>100</v>
      </c>
      <c r="J77" s="24"/>
    </row>
    <row r="78" spans="1:12" x14ac:dyDescent="0.2">
      <c r="A78" s="4"/>
      <c r="B78" s="4"/>
      <c r="C78" s="50">
        <v>12</v>
      </c>
      <c r="D78" s="83">
        <f t="shared" si="2"/>
        <v>0</v>
      </c>
      <c r="E78" s="83"/>
      <c r="F78" s="50">
        <v>14</v>
      </c>
      <c r="G78" s="83">
        <f t="shared" si="3"/>
        <v>1000</v>
      </c>
      <c r="J78" s="24"/>
    </row>
    <row r="79" spans="1:12" ht="17" customHeight="1" x14ac:dyDescent="0.2">
      <c r="A79" s="4"/>
      <c r="B79" s="4"/>
      <c r="C79" s="50">
        <v>13</v>
      </c>
      <c r="D79" s="83">
        <f t="shared" si="2"/>
        <v>200</v>
      </c>
      <c r="E79" s="83"/>
      <c r="F79" s="50">
        <v>15</v>
      </c>
      <c r="G79" s="83">
        <f t="shared" si="3"/>
        <v>150</v>
      </c>
      <c r="J79" s="24"/>
    </row>
    <row r="80" spans="1:12" ht="17" customHeight="1" x14ac:dyDescent="0.2">
      <c r="A80" s="4"/>
      <c r="B80" s="4"/>
      <c r="C80" s="4"/>
      <c r="D80" s="4"/>
      <c r="E80" s="81"/>
      <c r="F80" s="83"/>
      <c r="G80" s="83"/>
      <c r="H80" s="81"/>
      <c r="I80" s="83"/>
      <c r="L80" s="24"/>
    </row>
    <row r="81" spans="1:12" ht="17" customHeight="1" x14ac:dyDescent="0.2">
      <c r="A81" s="4"/>
      <c r="B81" s="151" t="s">
        <v>275</v>
      </c>
      <c r="C81" s="152">
        <f>SUM(D71:D79,G71:G79)*1000</f>
        <v>6200000</v>
      </c>
      <c r="D81" s="4"/>
      <c r="E81" s="81"/>
      <c r="F81" s="83"/>
      <c r="G81" s="83"/>
      <c r="H81" s="81"/>
      <c r="I81" s="83"/>
      <c r="L81" s="24"/>
    </row>
    <row r="82" spans="1:12" ht="17" customHeight="1" x14ac:dyDescent="0.2">
      <c r="A82" s="4"/>
      <c r="B82" s="4"/>
      <c r="C82" s="4"/>
      <c r="D82" s="4"/>
      <c r="E82" s="81"/>
      <c r="F82" s="83"/>
      <c r="G82" s="83"/>
      <c r="H82" s="81"/>
      <c r="I82" s="83"/>
      <c r="L82" s="24"/>
    </row>
    <row r="83" spans="1:12" ht="17" customHeight="1" x14ac:dyDescent="0.2">
      <c r="A83" s="4"/>
      <c r="B83" s="4" t="s">
        <v>276</v>
      </c>
      <c r="C83" s="4"/>
      <c r="D83" s="4"/>
      <c r="E83" s="81"/>
      <c r="F83" s="83"/>
      <c r="G83" s="83"/>
      <c r="H83" s="81"/>
      <c r="I83" s="83"/>
      <c r="L83" s="24"/>
    </row>
    <row r="84" spans="1:12" ht="17" customHeight="1" x14ac:dyDescent="0.2">
      <c r="A84" s="4"/>
      <c r="B84" s="4"/>
      <c r="C84" s="4"/>
      <c r="D84" s="4"/>
      <c r="E84" s="81"/>
      <c r="F84" s="83"/>
      <c r="G84" s="83"/>
      <c r="H84" s="81"/>
      <c r="I84" s="83"/>
      <c r="L84" s="24"/>
    </row>
    <row r="85" spans="1:12" x14ac:dyDescent="0.2">
      <c r="A85" s="22"/>
      <c r="B85" s="4" t="s">
        <v>1</v>
      </c>
      <c r="C85" s="23"/>
      <c r="D85" s="4"/>
      <c r="E85" s="4"/>
      <c r="F85" s="4"/>
      <c r="G85" s="4"/>
      <c r="H85" s="4"/>
      <c r="I85" s="4"/>
    </row>
    <row r="86" spans="1:12" x14ac:dyDescent="0.2">
      <c r="A86" s="4"/>
      <c r="B86" s="36" t="s">
        <v>281</v>
      </c>
      <c r="C86" s="4"/>
      <c r="D86" s="4"/>
      <c r="E86" s="4"/>
      <c r="F86" s="4"/>
      <c r="G86" s="4"/>
      <c r="H86" s="4"/>
      <c r="I86" s="4"/>
    </row>
    <row r="87" spans="1:12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12" x14ac:dyDescent="0.2">
      <c r="A88" s="4"/>
      <c r="B88" s="4" t="s">
        <v>282</v>
      </c>
      <c r="C88" s="4"/>
      <c r="D88" s="4"/>
      <c r="E88" s="4"/>
      <c r="F88" s="4"/>
      <c r="G88" s="4"/>
      <c r="H88" s="4"/>
      <c r="I88" s="4"/>
    </row>
    <row r="89" spans="1:12" ht="68" x14ac:dyDescent="0.2">
      <c r="A89" s="4"/>
      <c r="B89" s="4"/>
      <c r="C89" s="37" t="s">
        <v>25</v>
      </c>
      <c r="D89" s="138" t="s">
        <v>277</v>
      </c>
      <c r="E89" s="141" t="s">
        <v>278</v>
      </c>
      <c r="F89" s="186" t="s">
        <v>453</v>
      </c>
      <c r="G89" s="4"/>
      <c r="H89" s="4"/>
      <c r="I89" s="93"/>
      <c r="J89" s="4"/>
      <c r="K89" s="4"/>
    </row>
    <row r="90" spans="1:12" x14ac:dyDescent="0.2">
      <c r="A90" s="4"/>
      <c r="B90" s="4"/>
      <c r="C90" s="50">
        <v>1</v>
      </c>
      <c r="D90" s="83">
        <f t="shared" ref="D90:D104" si="4">MIN($E$30/1000,SUMIF(C$8:C$16,$C90,D$8:D$16))</f>
        <v>400</v>
      </c>
      <c r="E90" s="50">
        <f t="shared" ref="E90:E104" si="5">MIN(E$30/1000,SUMIF(F$8:F$16,$C90,G$8:G$16))</f>
        <v>0</v>
      </c>
      <c r="F90" s="42">
        <f>MIN(750,SUM(D90:E90))</f>
        <v>400</v>
      </c>
      <c r="G90" s="4"/>
      <c r="H90" s="4"/>
      <c r="I90" s="62"/>
      <c r="J90" s="4"/>
      <c r="K90" s="4"/>
    </row>
    <row r="91" spans="1:12" x14ac:dyDescent="0.2">
      <c r="A91" s="4"/>
      <c r="B91" s="4"/>
      <c r="C91" s="50">
        <v>2</v>
      </c>
      <c r="D91" s="83">
        <f t="shared" si="4"/>
        <v>0</v>
      </c>
      <c r="E91" s="50">
        <f t="shared" si="5"/>
        <v>500</v>
      </c>
      <c r="F91" s="42">
        <f>MIN(750,SUM(D91:E91))</f>
        <v>500</v>
      </c>
      <c r="G91" s="4"/>
      <c r="H91" s="4"/>
      <c r="I91" s="62"/>
      <c r="J91" s="4"/>
      <c r="K91" s="4"/>
    </row>
    <row r="92" spans="1:12" x14ac:dyDescent="0.2">
      <c r="A92" s="4"/>
      <c r="B92" s="4"/>
      <c r="C92" s="50">
        <v>3</v>
      </c>
      <c r="D92" s="83">
        <f t="shared" si="4"/>
        <v>500</v>
      </c>
      <c r="E92" s="50">
        <f t="shared" si="5"/>
        <v>500</v>
      </c>
      <c r="F92" s="42">
        <f t="shared" ref="F92:F104" si="6">MIN(750,SUM(D92:E92))</f>
        <v>750</v>
      </c>
      <c r="G92" s="4"/>
      <c r="H92" s="4"/>
      <c r="J92" s="4"/>
      <c r="K92" s="4"/>
    </row>
    <row r="93" spans="1:12" x14ac:dyDescent="0.2">
      <c r="A93" s="4"/>
      <c r="B93" s="4"/>
      <c r="C93" s="50">
        <v>4</v>
      </c>
      <c r="D93" s="83">
        <f t="shared" si="4"/>
        <v>500</v>
      </c>
      <c r="E93" s="50">
        <f t="shared" si="5"/>
        <v>0</v>
      </c>
      <c r="F93" s="42">
        <f t="shared" si="6"/>
        <v>500</v>
      </c>
      <c r="G93" s="4"/>
      <c r="H93" s="4"/>
      <c r="J93" s="4"/>
      <c r="K93" s="4"/>
    </row>
    <row r="94" spans="1:12" x14ac:dyDescent="0.2">
      <c r="A94" s="4"/>
      <c r="B94" s="4"/>
      <c r="C94" s="50">
        <v>5</v>
      </c>
      <c r="D94" s="83">
        <f t="shared" si="4"/>
        <v>0</v>
      </c>
      <c r="E94" s="50">
        <f t="shared" si="5"/>
        <v>500</v>
      </c>
      <c r="F94" s="42">
        <f t="shared" si="6"/>
        <v>500</v>
      </c>
      <c r="G94" s="4"/>
      <c r="H94" s="4"/>
      <c r="J94" s="4"/>
      <c r="K94" s="4"/>
    </row>
    <row r="95" spans="1:12" x14ac:dyDescent="0.2">
      <c r="A95" s="4"/>
      <c r="B95" s="4"/>
      <c r="C95" s="50">
        <v>6</v>
      </c>
      <c r="D95" s="83">
        <f t="shared" si="4"/>
        <v>400</v>
      </c>
      <c r="E95" s="50">
        <f t="shared" si="5"/>
        <v>250</v>
      </c>
      <c r="F95" s="42">
        <f t="shared" si="6"/>
        <v>650</v>
      </c>
      <c r="G95" s="4"/>
      <c r="H95" s="4"/>
      <c r="J95" s="4"/>
      <c r="K95" s="4"/>
    </row>
    <row r="96" spans="1:12" x14ac:dyDescent="0.2">
      <c r="A96" s="4"/>
      <c r="B96" s="4"/>
      <c r="C96" s="50">
        <v>7</v>
      </c>
      <c r="D96" s="83">
        <f t="shared" si="4"/>
        <v>125</v>
      </c>
      <c r="E96" s="50">
        <f t="shared" si="5"/>
        <v>0</v>
      </c>
      <c r="F96" s="42">
        <f t="shared" si="6"/>
        <v>125</v>
      </c>
      <c r="G96" s="4"/>
      <c r="H96" s="4"/>
      <c r="J96" s="4"/>
      <c r="K96" s="4"/>
    </row>
    <row r="97" spans="1:11" x14ac:dyDescent="0.2">
      <c r="A97" s="4"/>
      <c r="B97" s="4"/>
      <c r="C97" s="50">
        <v>8</v>
      </c>
      <c r="D97" s="83">
        <f t="shared" si="4"/>
        <v>0</v>
      </c>
      <c r="E97" s="50">
        <f t="shared" si="5"/>
        <v>100</v>
      </c>
      <c r="F97" s="42">
        <f t="shared" si="6"/>
        <v>100</v>
      </c>
      <c r="G97" s="4"/>
      <c r="H97" s="4"/>
      <c r="J97" s="4"/>
      <c r="K97" s="4"/>
    </row>
    <row r="98" spans="1:11" x14ac:dyDescent="0.2">
      <c r="A98" s="4"/>
      <c r="B98" s="4"/>
      <c r="C98" s="50">
        <v>9</v>
      </c>
      <c r="D98" s="83">
        <f t="shared" si="4"/>
        <v>500</v>
      </c>
      <c r="E98" s="50">
        <f t="shared" si="5"/>
        <v>0</v>
      </c>
      <c r="F98" s="42">
        <f t="shared" si="6"/>
        <v>500</v>
      </c>
      <c r="G98" s="4"/>
      <c r="H98" s="4"/>
      <c r="J98" s="4"/>
      <c r="K98" s="4"/>
    </row>
    <row r="99" spans="1:11" x14ac:dyDescent="0.2">
      <c r="A99" s="4"/>
      <c r="B99" s="4"/>
      <c r="C99" s="50">
        <v>10</v>
      </c>
      <c r="D99" s="83">
        <f t="shared" si="4"/>
        <v>25</v>
      </c>
      <c r="E99" s="50">
        <f t="shared" si="5"/>
        <v>0</v>
      </c>
      <c r="F99" s="42">
        <f t="shared" si="6"/>
        <v>25</v>
      </c>
      <c r="G99" s="4"/>
      <c r="H99" s="4"/>
      <c r="J99" s="4"/>
      <c r="K99" s="4"/>
    </row>
    <row r="100" spans="1:11" x14ac:dyDescent="0.2">
      <c r="A100" s="4"/>
      <c r="B100" s="4"/>
      <c r="C100" s="50">
        <v>11</v>
      </c>
      <c r="D100" s="83">
        <f t="shared" si="4"/>
        <v>0</v>
      </c>
      <c r="E100" s="50">
        <f t="shared" si="5"/>
        <v>500</v>
      </c>
      <c r="F100" s="42">
        <f t="shared" si="6"/>
        <v>500</v>
      </c>
      <c r="G100" s="4"/>
      <c r="H100" s="4"/>
      <c r="J100" s="4"/>
      <c r="K100" s="4"/>
    </row>
    <row r="101" spans="1:11" x14ac:dyDescent="0.2">
      <c r="A101" s="4"/>
      <c r="B101" s="4"/>
      <c r="C101" s="50">
        <v>12</v>
      </c>
      <c r="D101" s="83">
        <f t="shared" si="4"/>
        <v>185</v>
      </c>
      <c r="E101" s="50">
        <f t="shared" si="5"/>
        <v>350</v>
      </c>
      <c r="F101" s="42">
        <f t="shared" si="6"/>
        <v>535</v>
      </c>
      <c r="G101" s="4"/>
      <c r="H101" s="4"/>
      <c r="J101" s="4"/>
      <c r="K101" s="4"/>
    </row>
    <row r="102" spans="1:11" x14ac:dyDescent="0.2">
      <c r="A102" s="4"/>
      <c r="B102" s="4"/>
      <c r="C102" s="50">
        <v>13</v>
      </c>
      <c r="D102" s="83">
        <f t="shared" si="4"/>
        <v>450</v>
      </c>
      <c r="E102" s="50">
        <f t="shared" si="5"/>
        <v>0</v>
      </c>
      <c r="F102" s="42">
        <f t="shared" si="6"/>
        <v>450</v>
      </c>
      <c r="G102" s="4"/>
      <c r="H102" s="4"/>
      <c r="J102" s="4"/>
      <c r="K102" s="4"/>
    </row>
    <row r="103" spans="1:11" x14ac:dyDescent="0.2">
      <c r="A103" s="4"/>
      <c r="B103" s="4"/>
      <c r="C103" s="50">
        <v>14</v>
      </c>
      <c r="D103" s="83">
        <f t="shared" si="4"/>
        <v>0</v>
      </c>
      <c r="E103" s="50">
        <f t="shared" si="5"/>
        <v>500</v>
      </c>
      <c r="F103" s="42">
        <f t="shared" si="6"/>
        <v>500</v>
      </c>
      <c r="G103" s="4"/>
      <c r="H103" s="4"/>
      <c r="J103" s="4"/>
      <c r="K103" s="4"/>
    </row>
    <row r="104" spans="1:11" x14ac:dyDescent="0.2">
      <c r="A104" s="4"/>
      <c r="B104" s="4"/>
      <c r="C104" s="37">
        <v>15</v>
      </c>
      <c r="D104" s="30">
        <f t="shared" si="4"/>
        <v>0</v>
      </c>
      <c r="E104" s="37">
        <f t="shared" si="5"/>
        <v>400</v>
      </c>
      <c r="F104" s="109">
        <f t="shared" si="6"/>
        <v>400</v>
      </c>
      <c r="G104" s="4"/>
      <c r="H104" s="4"/>
      <c r="J104" s="4"/>
      <c r="K104" s="4"/>
    </row>
    <row r="105" spans="1:11" s="62" customFormat="1" x14ac:dyDescent="0.2">
      <c r="A105" s="59"/>
      <c r="B105" s="59"/>
      <c r="C105" s="50" t="s">
        <v>4</v>
      </c>
      <c r="D105" s="81">
        <f>SUM(D90:D104)</f>
        <v>3085</v>
      </c>
      <c r="E105" s="50">
        <f>SUM(E90:E104)</f>
        <v>3600</v>
      </c>
      <c r="F105" s="153">
        <f>SUM(F90:F104)</f>
        <v>6435</v>
      </c>
      <c r="G105" s="59" t="s">
        <v>283</v>
      </c>
      <c r="H105" s="59"/>
      <c r="I105" s="81"/>
      <c r="J105" s="59"/>
      <c r="K105" s="59"/>
    </row>
    <row r="106" spans="1:11" x14ac:dyDescent="0.2">
      <c r="A106" s="4"/>
      <c r="B106" s="4"/>
      <c r="C106" s="81"/>
      <c r="D106" s="92"/>
      <c r="E106" s="92"/>
      <c r="F106" s="4"/>
      <c r="G106" s="4"/>
      <c r="H106" s="4"/>
      <c r="I106" s="4"/>
    </row>
    <row r="107" spans="1:11" x14ac:dyDescent="0.2">
      <c r="A107" s="4"/>
      <c r="B107" s="4" t="s">
        <v>443</v>
      </c>
      <c r="C107" s="81"/>
      <c r="D107" s="92"/>
      <c r="E107" s="92"/>
      <c r="F107" s="4"/>
      <c r="G107" s="4"/>
      <c r="H107" s="4"/>
      <c r="I107" s="4"/>
    </row>
    <row r="108" spans="1:11" x14ac:dyDescent="0.2">
      <c r="A108" s="4"/>
      <c r="B108" s="4" t="s">
        <v>284</v>
      </c>
      <c r="C108" s="81"/>
      <c r="D108" s="92"/>
      <c r="E108" s="92"/>
      <c r="F108" s="4"/>
      <c r="G108" s="4"/>
      <c r="H108" s="4"/>
      <c r="I108" s="4"/>
    </row>
    <row r="109" spans="1:11" x14ac:dyDescent="0.2">
      <c r="A109" s="4"/>
      <c r="B109" s="4"/>
      <c r="C109" s="81"/>
      <c r="D109" s="92"/>
      <c r="E109" s="92"/>
      <c r="F109" s="4"/>
      <c r="G109" s="4"/>
      <c r="H109" s="4"/>
      <c r="I109" s="4"/>
    </row>
    <row r="110" spans="1:11" x14ac:dyDescent="0.2">
      <c r="A110" s="4"/>
      <c r="B110" s="238" t="s">
        <v>285</v>
      </c>
      <c r="C110" s="238"/>
      <c r="D110" s="187">
        <f>MIN(6500,SUM(D105:E105))*1000</f>
        <v>6500000</v>
      </c>
      <c r="E110" s="92"/>
      <c r="F110" s="4"/>
      <c r="G110" s="4"/>
      <c r="H110" s="4"/>
      <c r="I110" s="4"/>
    </row>
    <row r="111" spans="1:11" x14ac:dyDescent="0.2">
      <c r="A111" s="4"/>
      <c r="B111" s="4"/>
      <c r="C111" s="81"/>
      <c r="D111" s="92"/>
      <c r="E111" s="92"/>
      <c r="F111" s="4"/>
      <c r="G111" s="4"/>
      <c r="H111" s="4"/>
      <c r="I111" s="4"/>
    </row>
    <row r="112" spans="1:11" x14ac:dyDescent="0.2">
      <c r="A112" s="4"/>
      <c r="B112" s="4" t="s">
        <v>288</v>
      </c>
      <c r="C112" s="81"/>
      <c r="D112" s="92"/>
      <c r="E112" s="92"/>
      <c r="F112" s="4"/>
      <c r="G112" s="4"/>
      <c r="H112" s="4"/>
      <c r="I112" s="4"/>
    </row>
    <row r="113" spans="1:14" x14ac:dyDescent="0.2">
      <c r="A113" s="4"/>
      <c r="B113" s="4"/>
      <c r="C113" s="81"/>
      <c r="D113" s="92"/>
      <c r="E113" s="92"/>
      <c r="F113" s="4"/>
      <c r="G113" s="4"/>
      <c r="H113" s="4"/>
      <c r="I113" s="4"/>
    </row>
    <row r="114" spans="1:14" x14ac:dyDescent="0.2">
      <c r="A114" s="22"/>
      <c r="B114" s="4" t="s">
        <v>2</v>
      </c>
      <c r="C114" s="23"/>
      <c r="D114" s="4"/>
      <c r="E114" s="4"/>
      <c r="F114" s="4"/>
      <c r="G114" s="4"/>
      <c r="H114" s="4"/>
      <c r="I114" s="4"/>
    </row>
    <row r="115" spans="1:14" x14ac:dyDescent="0.2">
      <c r="A115" s="4"/>
      <c r="B115" s="4" t="s">
        <v>289</v>
      </c>
      <c r="C115" s="4"/>
      <c r="D115" s="4"/>
      <c r="E115" s="4"/>
      <c r="F115" s="4"/>
      <c r="G115" s="4"/>
      <c r="H115" s="4"/>
      <c r="I115" s="4"/>
      <c r="L115" s="4"/>
      <c r="M115" s="23"/>
      <c r="N115" s="4"/>
    </row>
    <row r="116" spans="1:14" x14ac:dyDescent="0.2">
      <c r="A116" s="4"/>
      <c r="B116" s="4" t="s">
        <v>290</v>
      </c>
      <c r="C116" s="4"/>
      <c r="D116" s="4"/>
      <c r="E116" s="4"/>
      <c r="F116" s="4"/>
      <c r="G116" s="4"/>
      <c r="H116" s="4"/>
      <c r="I116" s="4"/>
      <c r="L116" s="24"/>
      <c r="M116" s="24"/>
      <c r="N116" s="24"/>
    </row>
    <row r="117" spans="1:14" x14ac:dyDescent="0.2">
      <c r="A117" s="4"/>
      <c r="B117" s="4"/>
      <c r="C117" s="4"/>
      <c r="D117" s="4"/>
      <c r="E117" s="4"/>
      <c r="F117" s="4"/>
      <c r="G117" s="4"/>
      <c r="H117" s="4"/>
      <c r="I117" s="4"/>
      <c r="L117" s="24"/>
      <c r="M117" s="24"/>
      <c r="N117" s="24"/>
    </row>
    <row r="118" spans="1:14" x14ac:dyDescent="0.2">
      <c r="A118" s="4"/>
      <c r="B118" s="4" t="s">
        <v>291</v>
      </c>
      <c r="C118" s="4"/>
      <c r="D118" s="4"/>
      <c r="E118" s="4"/>
      <c r="F118" s="4"/>
      <c r="G118" s="4"/>
      <c r="H118" s="4"/>
      <c r="I118" s="4"/>
      <c r="L118" s="24"/>
      <c r="M118" s="24"/>
      <c r="N118" s="24"/>
    </row>
    <row r="119" spans="1:14" x14ac:dyDescent="0.2">
      <c r="A119" s="4"/>
      <c r="B119" s="4" t="s">
        <v>292</v>
      </c>
      <c r="C119" s="4"/>
      <c r="D119" s="4"/>
      <c r="E119" s="4"/>
      <c r="F119" s="4"/>
      <c r="G119" s="4"/>
      <c r="H119" s="4"/>
      <c r="I119" s="4"/>
      <c r="L119" s="24"/>
      <c r="M119" s="24"/>
      <c r="N119" s="24"/>
    </row>
    <row r="120" spans="1:14" x14ac:dyDescent="0.2">
      <c r="A120" s="4"/>
      <c r="B120" s="4"/>
      <c r="C120" s="4"/>
      <c r="D120" s="4"/>
      <c r="E120" s="4"/>
      <c r="F120" s="4"/>
      <c r="G120" s="4"/>
      <c r="H120" s="4"/>
      <c r="I120" s="4"/>
      <c r="L120" s="24"/>
      <c r="M120" s="24"/>
      <c r="N120" s="24"/>
    </row>
    <row r="121" spans="1:14" x14ac:dyDescent="0.2">
      <c r="A121" s="4"/>
      <c r="B121" s="4" t="s">
        <v>293</v>
      </c>
      <c r="C121" s="4"/>
      <c r="D121" s="4"/>
      <c r="E121" s="4"/>
      <c r="F121" s="4"/>
      <c r="G121" s="4"/>
      <c r="H121" s="4"/>
      <c r="I121" s="4"/>
      <c r="L121" s="24"/>
      <c r="M121" s="24"/>
      <c r="N121" s="24"/>
    </row>
    <row r="122" spans="1:14" x14ac:dyDescent="0.2">
      <c r="A122" s="4"/>
      <c r="B122" s="4" t="s">
        <v>294</v>
      </c>
      <c r="C122" s="4"/>
      <c r="D122" s="4"/>
      <c r="E122" s="4"/>
      <c r="F122" s="4"/>
      <c r="G122" s="4"/>
      <c r="H122" s="4"/>
      <c r="I122" s="4"/>
      <c r="L122" s="24"/>
      <c r="M122" s="24"/>
      <c r="N122" s="24"/>
    </row>
    <row r="123" spans="1:14" x14ac:dyDescent="0.2">
      <c r="A123" s="4"/>
      <c r="B123" s="4"/>
      <c r="C123" s="4"/>
      <c r="D123" s="4"/>
      <c r="E123" s="4"/>
      <c r="F123" s="4"/>
      <c r="G123" s="4"/>
      <c r="H123" s="4"/>
      <c r="I123" s="4"/>
      <c r="L123" s="24"/>
      <c r="M123" s="24"/>
      <c r="N123" s="24"/>
    </row>
    <row r="124" spans="1:14" x14ac:dyDescent="0.2">
      <c r="A124" s="4"/>
      <c r="B124" s="4" t="s">
        <v>295</v>
      </c>
      <c r="C124" s="4"/>
      <c r="D124" s="4"/>
      <c r="E124" s="4"/>
      <c r="F124" s="4"/>
      <c r="G124" s="4"/>
      <c r="H124" s="4"/>
      <c r="I124" s="4"/>
      <c r="L124" s="24"/>
      <c r="M124" s="24"/>
      <c r="N124" s="24"/>
    </row>
    <row r="125" spans="1:14" x14ac:dyDescent="0.2">
      <c r="A125" s="4"/>
      <c r="B125" s="4" t="s">
        <v>296</v>
      </c>
      <c r="C125" s="4"/>
      <c r="D125" s="4"/>
      <c r="E125" s="4"/>
      <c r="F125" s="4"/>
      <c r="G125" s="4"/>
      <c r="H125" s="4"/>
      <c r="I125" s="4"/>
      <c r="L125" s="4"/>
      <c r="M125" s="23"/>
      <c r="N125" s="4"/>
    </row>
    <row r="126" spans="1:14" x14ac:dyDescent="0.2">
      <c r="A126" s="4"/>
      <c r="B126" s="4" t="s">
        <v>297</v>
      </c>
      <c r="C126" s="4"/>
      <c r="D126" s="4"/>
      <c r="E126" s="4"/>
      <c r="F126" s="4"/>
      <c r="G126" s="4"/>
      <c r="H126" s="4"/>
      <c r="I126" s="4"/>
      <c r="L126" s="24"/>
      <c r="M126" s="24"/>
      <c r="N126" s="24"/>
    </row>
    <row r="127" spans="1:14" x14ac:dyDescent="0.2">
      <c r="A127" s="4"/>
      <c r="B127" s="4"/>
      <c r="C127" s="4"/>
      <c r="D127" s="4"/>
      <c r="E127" s="4"/>
      <c r="F127" s="4"/>
      <c r="G127" s="4"/>
      <c r="H127" s="4"/>
      <c r="I127" s="4"/>
      <c r="L127" s="24"/>
      <c r="M127" s="24"/>
      <c r="N127" s="24"/>
    </row>
    <row r="128" spans="1:14" x14ac:dyDescent="0.2">
      <c r="A128" s="4"/>
      <c r="B128" s="4"/>
      <c r="C128" s="4"/>
      <c r="D128" s="4"/>
      <c r="E128" s="4"/>
      <c r="F128" s="4"/>
      <c r="G128" s="4"/>
      <c r="H128" s="4"/>
      <c r="I128" s="4"/>
      <c r="L128" s="24"/>
      <c r="M128" s="24"/>
      <c r="N128" s="24"/>
    </row>
    <row r="129" spans="1:14" x14ac:dyDescent="0.2">
      <c r="A129" s="4"/>
      <c r="B129" s="4"/>
      <c r="C129" s="4"/>
      <c r="D129" s="4"/>
      <c r="E129" s="4"/>
      <c r="F129" s="4"/>
      <c r="G129" s="4"/>
      <c r="H129" s="4"/>
      <c r="I129" s="4"/>
      <c r="L129" s="24"/>
      <c r="M129" s="24"/>
      <c r="N129" s="24"/>
    </row>
    <row r="130" spans="1:14" x14ac:dyDescent="0.2">
      <c r="A130" s="4"/>
      <c r="B130" s="4"/>
      <c r="C130" s="4"/>
      <c r="D130" s="4"/>
      <c r="E130" s="4"/>
      <c r="F130" s="4"/>
      <c r="G130" s="4"/>
      <c r="H130" s="4"/>
      <c r="I130" s="4"/>
      <c r="L130" s="24"/>
      <c r="M130" s="24"/>
      <c r="N130" s="24"/>
    </row>
    <row r="131" spans="1:14" x14ac:dyDescent="0.2">
      <c r="A131" s="4"/>
      <c r="B131" s="4"/>
      <c r="C131" s="4"/>
      <c r="D131" s="4"/>
      <c r="E131" s="4"/>
      <c r="F131" s="4"/>
      <c r="G131" s="4"/>
      <c r="H131" s="4"/>
      <c r="I131" s="4"/>
      <c r="L131" s="24"/>
      <c r="M131" s="24"/>
      <c r="N131" s="24"/>
    </row>
    <row r="132" spans="1:14" x14ac:dyDescent="0.2">
      <c r="A132" s="4"/>
      <c r="B132" s="4"/>
      <c r="C132" s="4"/>
      <c r="D132" s="4"/>
      <c r="E132" s="4"/>
      <c r="F132" s="4"/>
      <c r="G132" s="4"/>
      <c r="H132" s="4"/>
      <c r="I132" s="4"/>
      <c r="L132" s="24"/>
      <c r="M132" s="24"/>
      <c r="N132" s="24"/>
    </row>
    <row r="133" spans="1:14" x14ac:dyDescent="0.2">
      <c r="A133" s="4"/>
      <c r="B133" s="4"/>
      <c r="C133" s="4"/>
      <c r="D133" s="4"/>
      <c r="E133" s="4"/>
      <c r="F133" s="4"/>
      <c r="G133" s="4"/>
      <c r="H133" s="4"/>
      <c r="I133" s="4"/>
      <c r="L133" s="24"/>
      <c r="M133" s="24"/>
      <c r="N133" s="24"/>
    </row>
    <row r="134" spans="1:14" x14ac:dyDescent="0.2">
      <c r="A134" s="4"/>
      <c r="B134" s="4"/>
      <c r="C134" s="4"/>
      <c r="D134" s="4"/>
      <c r="E134" s="4"/>
      <c r="F134" s="4"/>
      <c r="G134" s="4"/>
      <c r="H134" s="4"/>
      <c r="I134" s="4"/>
      <c r="L134" s="24"/>
      <c r="M134" s="24"/>
      <c r="N134" s="24"/>
    </row>
    <row r="135" spans="1:14" x14ac:dyDescent="0.2">
      <c r="A135" s="4"/>
      <c r="B135" s="4"/>
      <c r="C135" s="4"/>
      <c r="D135" s="4"/>
      <c r="E135" s="4"/>
      <c r="F135" s="4"/>
      <c r="G135" s="4"/>
      <c r="H135" s="4"/>
      <c r="I135" s="4"/>
      <c r="L135" s="4"/>
      <c r="M135" s="23"/>
      <c r="N135" s="4"/>
    </row>
    <row r="136" spans="1:14" x14ac:dyDescent="0.2">
      <c r="A136" s="4"/>
      <c r="B136" s="4"/>
      <c r="C136" s="4"/>
      <c r="D136" s="4"/>
      <c r="E136" s="4"/>
      <c r="F136" s="4"/>
      <c r="G136" s="4"/>
      <c r="H136" s="4"/>
      <c r="I136" s="4"/>
      <c r="L136" s="24"/>
      <c r="M136" s="24"/>
      <c r="N136" s="24"/>
    </row>
    <row r="137" spans="1:14" x14ac:dyDescent="0.2">
      <c r="A137" s="4"/>
      <c r="B137" s="4"/>
      <c r="C137" s="4"/>
      <c r="D137" s="4"/>
      <c r="E137" s="4"/>
      <c r="F137" s="4"/>
      <c r="G137" s="4"/>
      <c r="H137" s="4"/>
      <c r="I137" s="4"/>
      <c r="L137" s="24"/>
      <c r="M137" s="24"/>
      <c r="N137" s="24"/>
    </row>
    <row r="138" spans="1:14" x14ac:dyDescent="0.2">
      <c r="A138" s="4"/>
      <c r="B138" s="4"/>
      <c r="C138" s="4"/>
      <c r="D138" s="4"/>
      <c r="E138" s="4"/>
      <c r="F138" s="4"/>
      <c r="G138" s="4"/>
      <c r="H138" s="4"/>
      <c r="I138" s="4"/>
      <c r="L138" s="24"/>
      <c r="M138" s="24"/>
      <c r="N138" s="24"/>
    </row>
    <row r="139" spans="1:14" x14ac:dyDescent="0.2">
      <c r="A139" s="4"/>
      <c r="B139" s="4"/>
      <c r="C139" s="4"/>
      <c r="D139" s="4"/>
      <c r="E139" s="4"/>
      <c r="F139" s="4"/>
      <c r="G139" s="4"/>
      <c r="H139" s="4"/>
      <c r="I139" s="4"/>
      <c r="L139" s="24"/>
      <c r="M139" s="24"/>
      <c r="N139" s="24"/>
    </row>
    <row r="140" spans="1:14" x14ac:dyDescent="0.2">
      <c r="A140" s="4"/>
      <c r="B140" s="4"/>
      <c r="C140" s="4"/>
      <c r="D140" s="4"/>
      <c r="E140" s="4"/>
      <c r="F140" s="4"/>
      <c r="G140" s="4"/>
      <c r="H140" s="4"/>
      <c r="I140" s="4"/>
      <c r="L140" s="24"/>
      <c r="M140" s="24"/>
      <c r="N140" s="24"/>
    </row>
    <row r="141" spans="1:14" x14ac:dyDescent="0.2">
      <c r="A141" s="4"/>
      <c r="B141" s="4"/>
      <c r="C141" s="4"/>
      <c r="D141" s="4"/>
      <c r="E141" s="4"/>
      <c r="F141" s="4"/>
      <c r="G141" s="4"/>
      <c r="H141" s="4"/>
      <c r="I141" s="4"/>
      <c r="L141" s="24"/>
      <c r="M141" s="24"/>
      <c r="N141" s="24"/>
    </row>
    <row r="142" spans="1:14" x14ac:dyDescent="0.2">
      <c r="A142" s="4"/>
      <c r="B142" s="4"/>
      <c r="C142" s="4"/>
      <c r="D142" s="4"/>
      <c r="E142" s="4"/>
      <c r="F142" s="4"/>
      <c r="G142" s="4"/>
      <c r="H142" s="4"/>
      <c r="I142" s="4"/>
      <c r="L142" s="24"/>
      <c r="M142" s="24"/>
      <c r="N142" s="24"/>
    </row>
    <row r="143" spans="1:14" x14ac:dyDescent="0.2">
      <c r="A143" s="4"/>
      <c r="B143" s="4"/>
      <c r="C143" s="4"/>
      <c r="D143" s="4"/>
      <c r="E143" s="4"/>
      <c r="F143" s="4"/>
      <c r="G143" s="4"/>
      <c r="H143" s="4"/>
      <c r="I143" s="4"/>
      <c r="L143" s="24"/>
      <c r="M143" s="24"/>
      <c r="N143" s="24"/>
    </row>
    <row r="144" spans="1:14" x14ac:dyDescent="0.2">
      <c r="A144" s="4"/>
      <c r="B144" s="4"/>
      <c r="C144" s="4"/>
      <c r="D144" s="4"/>
      <c r="E144" s="4"/>
      <c r="F144" s="4"/>
      <c r="G144" s="4"/>
      <c r="H144" s="4"/>
      <c r="I144" s="4"/>
      <c r="L144" s="24"/>
      <c r="M144" s="24"/>
      <c r="N144" s="24"/>
    </row>
    <row r="145" spans="1:65" x14ac:dyDescent="0.2">
      <c r="A145" s="4"/>
      <c r="B145" s="4"/>
      <c r="C145" s="4"/>
      <c r="D145" s="4"/>
      <c r="E145" s="4"/>
      <c r="F145" s="4"/>
      <c r="G145" s="4"/>
      <c r="H145" s="4"/>
      <c r="I145" s="4"/>
      <c r="L145" s="4"/>
      <c r="M145" s="23"/>
      <c r="N145" s="4"/>
    </row>
    <row r="146" spans="1:65" x14ac:dyDescent="0.2">
      <c r="A146" s="4"/>
      <c r="B146" s="4"/>
      <c r="C146" s="4"/>
      <c r="D146" s="4"/>
      <c r="E146" s="4"/>
      <c r="F146" s="4"/>
      <c r="G146" s="4"/>
      <c r="H146" s="4"/>
      <c r="I146" s="4"/>
      <c r="L146" s="24"/>
      <c r="M146" s="24"/>
      <c r="N146" s="24"/>
    </row>
    <row r="147" spans="1:65" x14ac:dyDescent="0.2">
      <c r="A147" s="4"/>
      <c r="B147" s="4"/>
      <c r="C147" s="4"/>
      <c r="D147" s="4"/>
      <c r="E147" s="4"/>
      <c r="F147" s="4"/>
      <c r="G147" s="4"/>
      <c r="H147" s="4"/>
      <c r="I147" s="4"/>
      <c r="L147" s="24"/>
      <c r="M147" s="24"/>
      <c r="N147" s="24"/>
    </row>
    <row r="148" spans="1:65" x14ac:dyDescent="0.2">
      <c r="A148" s="4"/>
      <c r="B148" s="4"/>
      <c r="C148" s="4"/>
      <c r="D148" s="4"/>
      <c r="E148" s="4"/>
      <c r="F148" s="4"/>
      <c r="G148" s="4"/>
      <c r="H148" s="4"/>
      <c r="I148" s="4"/>
      <c r="L148" s="24"/>
      <c r="M148" s="24"/>
      <c r="N148" s="24"/>
    </row>
    <row r="149" spans="1:65" x14ac:dyDescent="0.2">
      <c r="A149" s="4"/>
      <c r="B149" s="4"/>
      <c r="C149" s="4"/>
      <c r="D149" s="4"/>
      <c r="E149" s="4"/>
      <c r="F149" s="4"/>
      <c r="G149" s="4"/>
      <c r="H149" s="4"/>
      <c r="I149" s="4"/>
      <c r="L149" s="24"/>
      <c r="M149" s="24"/>
      <c r="N149" s="24"/>
    </row>
    <row r="150" spans="1:65" x14ac:dyDescent="0.2">
      <c r="A150" s="4"/>
      <c r="B150" s="4"/>
      <c r="C150" s="4"/>
      <c r="D150" s="4"/>
      <c r="E150" s="4"/>
      <c r="F150" s="4"/>
      <c r="G150" s="4"/>
      <c r="H150" s="4"/>
      <c r="I150" s="4"/>
      <c r="L150" s="24"/>
      <c r="M150" s="24"/>
      <c r="N150" s="24"/>
    </row>
    <row r="151" spans="1:65" x14ac:dyDescent="0.2">
      <c r="A151" s="4"/>
      <c r="B151" s="4"/>
      <c r="C151" s="4"/>
      <c r="D151" s="4"/>
      <c r="E151" s="4"/>
      <c r="F151" s="4"/>
      <c r="G151" s="4"/>
      <c r="H151" s="4"/>
      <c r="I151" s="4"/>
      <c r="L151" s="24"/>
      <c r="M151" s="24"/>
      <c r="N151" s="24"/>
    </row>
    <row r="152" spans="1:65" x14ac:dyDescent="0.2">
      <c r="A152" s="4"/>
      <c r="B152" s="4"/>
      <c r="C152" s="4"/>
      <c r="D152" s="4"/>
      <c r="E152" s="4"/>
      <c r="F152" s="4"/>
      <c r="G152" s="4"/>
      <c r="H152" s="4"/>
      <c r="I152" s="4"/>
      <c r="L152" s="24"/>
      <c r="M152" s="24"/>
      <c r="N152" s="24"/>
    </row>
    <row r="153" spans="1:65" x14ac:dyDescent="0.2">
      <c r="A153" s="4"/>
      <c r="B153" s="4"/>
      <c r="C153" s="4"/>
      <c r="D153" s="4"/>
      <c r="E153" s="4"/>
      <c r="F153" s="4"/>
      <c r="G153" s="4"/>
      <c r="H153" s="4"/>
      <c r="I153" s="4"/>
      <c r="L153" s="24"/>
      <c r="M153" s="24"/>
      <c r="N153" s="24"/>
    </row>
    <row r="154" spans="1:65" x14ac:dyDescent="0.2">
      <c r="A154" s="4"/>
      <c r="B154" s="4"/>
      <c r="C154" s="4"/>
      <c r="D154" s="4"/>
      <c r="E154" s="4"/>
      <c r="F154" s="4"/>
      <c r="G154" s="4"/>
      <c r="H154" s="4"/>
      <c r="I154" s="4"/>
      <c r="L154" s="24"/>
      <c r="M154" s="24"/>
      <c r="N154" s="24"/>
    </row>
    <row r="155" spans="1:65" x14ac:dyDescent="0.2">
      <c r="A155" s="4"/>
      <c r="B155" s="4"/>
      <c r="C155" s="4"/>
      <c r="D155" s="4"/>
      <c r="E155" s="4"/>
      <c r="F155" s="4"/>
      <c r="G155" s="4"/>
      <c r="H155" s="4"/>
      <c r="I155" s="4"/>
      <c r="L155" s="4"/>
      <c r="M155" s="23"/>
      <c r="N155" s="4"/>
    </row>
    <row r="156" spans="1:65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</row>
    <row r="157" spans="1:65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</row>
    <row r="158" spans="1:65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</row>
    <row r="159" spans="1:65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</row>
    <row r="160" spans="1:65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</row>
    <row r="161" spans="1:65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</row>
    <row r="162" spans="1:65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</row>
    <row r="163" spans="1:65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</row>
    <row r="164" spans="1:65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</row>
    <row r="165" spans="1:65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</row>
    <row r="166" spans="1:65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</row>
    <row r="167" spans="1:65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</row>
    <row r="168" spans="1:65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</row>
    <row r="169" spans="1:65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</row>
    <row r="170" spans="1:65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</row>
    <row r="171" spans="1:65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</row>
    <row r="172" spans="1:65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</row>
    <row r="173" spans="1:65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</row>
    <row r="174" spans="1:65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</row>
    <row r="175" spans="1:65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</row>
    <row r="176" spans="1:65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</row>
    <row r="177" spans="1:65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</row>
    <row r="178" spans="1:65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</row>
    <row r="179" spans="1:65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</row>
    <row r="180" spans="1:65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</row>
    <row r="181" spans="1:65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</row>
    <row r="182" spans="1:65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</row>
    <row r="183" spans="1:65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</row>
    <row r="184" spans="1:65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</row>
    <row r="185" spans="1:65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</row>
    <row r="186" spans="1:65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</row>
    <row r="187" spans="1:65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</row>
    <row r="188" spans="1:65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</row>
    <row r="189" spans="1:65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</row>
    <row r="190" spans="1:65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</row>
    <row r="191" spans="1:65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</row>
    <row r="192" spans="1:65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</row>
    <row r="193" spans="1:65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</row>
    <row r="194" spans="1:65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</row>
    <row r="195" spans="1:65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</row>
    <row r="196" spans="1:65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</row>
    <row r="197" spans="1:65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</row>
    <row r="198" spans="1:65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</row>
    <row r="199" spans="1:65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</row>
    <row r="200" spans="1:65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</row>
    <row r="201" spans="1:65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</row>
    <row r="202" spans="1:65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</row>
    <row r="203" spans="1:65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</row>
    <row r="204" spans="1:65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</row>
    <row r="205" spans="1:65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</row>
    <row r="206" spans="1:65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</row>
    <row r="207" spans="1:65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</row>
    <row r="208" spans="1:65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</row>
    <row r="209" spans="1:65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</row>
    <row r="210" spans="1:65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</row>
    <row r="211" spans="1:65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</row>
    <row r="212" spans="1:65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</row>
    <row r="213" spans="1:65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</row>
    <row r="214" spans="1:65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</row>
    <row r="215" spans="1:65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</row>
    <row r="216" spans="1:65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</row>
    <row r="217" spans="1:65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</row>
    <row r="218" spans="1:65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</row>
    <row r="219" spans="1:65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</row>
    <row r="220" spans="1:65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</row>
    <row r="221" spans="1:65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</row>
    <row r="222" spans="1:65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</row>
    <row r="223" spans="1:65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</row>
    <row r="224" spans="1:65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</row>
    <row r="225" spans="1:65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</row>
    <row r="226" spans="1:65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</row>
    <row r="227" spans="1:65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</row>
    <row r="228" spans="1:65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</row>
    <row r="229" spans="1:65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</row>
    <row r="230" spans="1:65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</row>
    <row r="231" spans="1:65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</row>
    <row r="232" spans="1:65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</row>
    <row r="233" spans="1:65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</row>
    <row r="234" spans="1:65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</row>
    <row r="235" spans="1:65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</row>
    <row r="236" spans="1:65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</row>
    <row r="237" spans="1:65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</row>
    <row r="238" spans="1:65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</row>
    <row r="239" spans="1:65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</row>
    <row r="240" spans="1:65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</row>
    <row r="241" spans="1:65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</row>
    <row r="242" spans="1:65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</row>
    <row r="243" spans="1:65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</row>
    <row r="244" spans="1:65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</row>
    <row r="245" spans="1:65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</row>
    <row r="246" spans="1:65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</row>
    <row r="247" spans="1:65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</row>
    <row r="248" spans="1:65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</row>
    <row r="249" spans="1:65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</row>
    <row r="250" spans="1:65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</row>
    <row r="251" spans="1:65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</row>
    <row r="252" spans="1:65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</row>
    <row r="253" spans="1:65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</row>
    <row r="254" spans="1:65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</row>
    <row r="255" spans="1:65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</row>
    <row r="256" spans="1:65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</row>
    <row r="257" spans="1:65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</row>
  </sheetData>
  <mergeCells count="7">
    <mergeCell ref="B110:C110"/>
    <mergeCell ref="C6:D6"/>
    <mergeCell ref="F6:G6"/>
    <mergeCell ref="C68:D68"/>
    <mergeCell ref="F68:G68"/>
    <mergeCell ref="C51:D51"/>
    <mergeCell ref="F51:G5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4D71D-341A-964B-9CA6-22B29F9A8927}">
  <dimension ref="A1:BM205"/>
  <sheetViews>
    <sheetView showGridLines="0" zoomScale="120" zoomScaleNormal="120" workbookViewId="0"/>
  </sheetViews>
  <sheetFormatPr baseColWidth="10" defaultRowHeight="16" x14ac:dyDescent="0.2"/>
  <cols>
    <col min="1" max="16384" width="10.83203125" style="18"/>
  </cols>
  <sheetData>
    <row r="1" spans="1:10" ht="19" x14ac:dyDescent="0.25">
      <c r="A1" s="16" t="s">
        <v>298</v>
      </c>
      <c r="B1" s="17"/>
      <c r="C1" s="17"/>
      <c r="D1" s="17"/>
      <c r="E1" s="17"/>
      <c r="F1" s="17"/>
      <c r="G1" s="17"/>
      <c r="H1" s="17"/>
      <c r="I1" s="17"/>
      <c r="J1" s="1"/>
    </row>
    <row r="2" spans="1:10" x14ac:dyDescent="0.2">
      <c r="A2" s="19"/>
      <c r="B2" s="17"/>
      <c r="C2" s="17"/>
      <c r="D2" s="17"/>
      <c r="E2" s="17"/>
      <c r="F2" s="17"/>
      <c r="G2" s="17"/>
      <c r="H2" s="17"/>
      <c r="I2" s="17"/>
      <c r="J2" s="1"/>
    </row>
    <row r="3" spans="1:10" ht="19" x14ac:dyDescent="0.25">
      <c r="A3" s="19"/>
      <c r="B3" s="136" t="s">
        <v>8</v>
      </c>
      <c r="C3" s="17"/>
      <c r="D3" s="17"/>
      <c r="E3" s="17"/>
      <c r="F3" s="17"/>
      <c r="G3" s="17"/>
      <c r="H3" s="17"/>
      <c r="I3" s="17"/>
      <c r="J3" s="1"/>
    </row>
    <row r="4" spans="1:10" x14ac:dyDescent="0.2">
      <c r="A4" s="19"/>
      <c r="B4" s="17" t="s">
        <v>299</v>
      </c>
      <c r="C4" s="17"/>
      <c r="D4" s="17"/>
      <c r="E4" s="17"/>
      <c r="F4" s="17"/>
      <c r="G4" s="17"/>
      <c r="H4" s="17"/>
      <c r="I4" s="17"/>
      <c r="J4" s="1"/>
    </row>
    <row r="5" spans="1:10" x14ac:dyDescent="0.2">
      <c r="A5" s="19"/>
      <c r="B5" s="17"/>
      <c r="C5" s="17"/>
      <c r="D5" s="17"/>
      <c r="E5" s="17"/>
      <c r="F5" s="17"/>
      <c r="G5" s="17"/>
      <c r="H5" s="17"/>
      <c r="I5" s="17"/>
      <c r="J5" s="1"/>
    </row>
    <row r="6" spans="1:10" ht="39" customHeight="1" x14ac:dyDescent="0.2">
      <c r="A6" s="19"/>
      <c r="B6" s="17"/>
      <c r="C6" s="99"/>
      <c r="D6" s="188" t="s">
        <v>454</v>
      </c>
      <c r="E6" s="131" t="s">
        <v>300</v>
      </c>
      <c r="F6" s="17"/>
      <c r="G6" s="17"/>
      <c r="H6" s="17"/>
      <c r="I6" s="17"/>
      <c r="J6" s="1"/>
    </row>
    <row r="7" spans="1:10" x14ac:dyDescent="0.2">
      <c r="A7" s="19"/>
      <c r="B7" s="17"/>
      <c r="C7" s="17"/>
      <c r="D7" s="10">
        <v>2000</v>
      </c>
      <c r="E7" s="86">
        <v>16</v>
      </c>
      <c r="F7" s="17"/>
      <c r="G7" s="17"/>
      <c r="H7" s="17"/>
      <c r="I7" s="17"/>
      <c r="J7" s="1"/>
    </row>
    <row r="8" spans="1:10" x14ac:dyDescent="0.2">
      <c r="A8" s="19"/>
      <c r="B8" s="17"/>
      <c r="C8" s="17"/>
      <c r="D8" s="10">
        <v>4000</v>
      </c>
      <c r="E8" s="86">
        <v>8</v>
      </c>
      <c r="F8" s="17"/>
      <c r="G8" s="17"/>
      <c r="H8" s="17"/>
      <c r="I8" s="17"/>
      <c r="J8" s="1"/>
    </row>
    <row r="9" spans="1:10" x14ac:dyDescent="0.2">
      <c r="A9" s="19"/>
      <c r="B9" s="17"/>
      <c r="C9" s="17"/>
      <c r="D9" s="10">
        <v>5000</v>
      </c>
      <c r="E9" s="86">
        <v>6</v>
      </c>
      <c r="F9" s="17"/>
      <c r="G9" s="17"/>
      <c r="H9" s="17"/>
      <c r="I9" s="17"/>
      <c r="J9" s="1"/>
    </row>
    <row r="10" spans="1:10" x14ac:dyDescent="0.2">
      <c r="A10" s="19"/>
      <c r="B10" s="17"/>
      <c r="C10" s="17"/>
      <c r="D10" s="10">
        <v>7500</v>
      </c>
      <c r="E10" s="86">
        <v>4</v>
      </c>
      <c r="F10" s="17"/>
      <c r="G10" s="17"/>
      <c r="H10" s="17"/>
      <c r="I10" s="17"/>
      <c r="J10" s="1"/>
    </row>
    <row r="11" spans="1:10" x14ac:dyDescent="0.2">
      <c r="A11" s="19"/>
      <c r="B11" s="17"/>
      <c r="C11" s="17"/>
      <c r="D11" s="10">
        <v>10000</v>
      </c>
      <c r="E11" s="86">
        <v>4</v>
      </c>
      <c r="F11" s="17"/>
      <c r="G11" s="17"/>
      <c r="H11" s="17"/>
      <c r="I11" s="17"/>
      <c r="J11" s="1"/>
    </row>
    <row r="12" spans="1:10" x14ac:dyDescent="0.2">
      <c r="A12" s="19"/>
      <c r="B12" s="17"/>
      <c r="C12" s="17"/>
      <c r="D12" s="10">
        <v>20000</v>
      </c>
      <c r="E12" s="86">
        <v>2</v>
      </c>
      <c r="F12" s="17"/>
      <c r="G12" s="17"/>
      <c r="H12" s="17"/>
      <c r="I12" s="17"/>
      <c r="J12" s="1"/>
    </row>
    <row r="13" spans="1:10" x14ac:dyDescent="0.2">
      <c r="A13" s="19"/>
      <c r="B13" s="17"/>
      <c r="C13" s="17"/>
      <c r="D13" s="10">
        <v>25000</v>
      </c>
      <c r="E13" s="86">
        <v>6</v>
      </c>
      <c r="F13" s="17"/>
      <c r="G13" s="17"/>
      <c r="H13" s="17"/>
      <c r="I13" s="17"/>
      <c r="J13" s="1"/>
    </row>
    <row r="14" spans="1:10" x14ac:dyDescent="0.2">
      <c r="A14" s="19"/>
      <c r="B14" s="17"/>
      <c r="C14" s="17"/>
      <c r="D14" s="10">
        <v>60000</v>
      </c>
      <c r="E14" s="86">
        <v>4</v>
      </c>
      <c r="F14" s="17"/>
      <c r="G14" s="17"/>
      <c r="H14" s="17"/>
      <c r="I14" s="17"/>
      <c r="J14" s="1"/>
    </row>
    <row r="15" spans="1:10" x14ac:dyDescent="0.2">
      <c r="A15" s="19"/>
      <c r="B15" s="17"/>
      <c r="C15" s="17"/>
      <c r="D15" s="17"/>
      <c r="E15" s="17"/>
      <c r="F15" s="17"/>
      <c r="G15" s="17"/>
      <c r="H15" s="17"/>
      <c r="I15" s="17"/>
      <c r="J15" s="1"/>
    </row>
    <row r="16" spans="1:10" x14ac:dyDescent="0.2">
      <c r="A16" s="19"/>
      <c r="B16" s="17" t="s">
        <v>305</v>
      </c>
      <c r="C16" s="17"/>
      <c r="D16" s="17"/>
      <c r="E16" s="17"/>
      <c r="F16" s="17"/>
      <c r="G16" s="17"/>
      <c r="H16" s="17"/>
      <c r="I16" s="17"/>
      <c r="J16" s="1"/>
    </row>
    <row r="17" spans="1:10" x14ac:dyDescent="0.2">
      <c r="A17" s="19"/>
      <c r="B17" s="17"/>
      <c r="C17" s="17"/>
      <c r="D17" s="17"/>
      <c r="E17" s="17"/>
      <c r="F17" s="17"/>
      <c r="G17" s="17"/>
      <c r="H17" s="17"/>
      <c r="I17" s="17"/>
      <c r="J17" s="1"/>
    </row>
    <row r="18" spans="1:10" x14ac:dyDescent="0.2">
      <c r="A18" s="19"/>
      <c r="B18" s="17" t="s">
        <v>0</v>
      </c>
      <c r="C18" s="17"/>
      <c r="D18" s="17"/>
      <c r="E18" s="17"/>
      <c r="F18" s="17"/>
      <c r="G18" s="17"/>
      <c r="H18" s="17"/>
      <c r="I18" s="17"/>
      <c r="J18" s="1"/>
    </row>
    <row r="19" spans="1:10" x14ac:dyDescent="0.2">
      <c r="A19" s="19"/>
      <c r="B19" s="17" t="s">
        <v>302</v>
      </c>
      <c r="C19" s="17"/>
      <c r="D19" s="17"/>
      <c r="E19" s="17"/>
      <c r="F19" s="17"/>
      <c r="G19" s="17"/>
      <c r="H19" s="17"/>
      <c r="I19" s="17"/>
      <c r="J19" s="1"/>
    </row>
    <row r="20" spans="1:10" x14ac:dyDescent="0.2">
      <c r="A20" s="19"/>
      <c r="B20" s="17"/>
      <c r="C20" s="17"/>
      <c r="D20" s="17"/>
      <c r="E20" s="17"/>
      <c r="F20" s="17"/>
      <c r="G20" s="17"/>
      <c r="H20" s="17"/>
      <c r="I20" s="17"/>
      <c r="J20" s="1"/>
    </row>
    <row r="21" spans="1:10" x14ac:dyDescent="0.2">
      <c r="A21" s="19"/>
      <c r="B21" s="17" t="s">
        <v>1</v>
      </c>
      <c r="C21" s="17"/>
      <c r="D21" s="17"/>
      <c r="E21" s="17"/>
      <c r="F21" s="17"/>
      <c r="G21" s="17"/>
      <c r="H21" s="17"/>
      <c r="I21" s="17"/>
      <c r="J21" s="1"/>
    </row>
    <row r="22" spans="1:10" x14ac:dyDescent="0.2">
      <c r="A22" s="19"/>
      <c r="B22" s="17" t="s">
        <v>303</v>
      </c>
      <c r="C22" s="17"/>
      <c r="D22" s="17"/>
      <c r="E22" s="17"/>
      <c r="F22" s="17"/>
      <c r="G22" s="17"/>
      <c r="H22" s="17"/>
      <c r="I22" s="17"/>
      <c r="J22" s="1"/>
    </row>
    <row r="23" spans="1:10" x14ac:dyDescent="0.2">
      <c r="A23" s="19"/>
      <c r="B23" s="17"/>
      <c r="C23" s="17"/>
      <c r="D23" s="17"/>
      <c r="E23" s="17"/>
      <c r="F23" s="17"/>
      <c r="G23" s="17"/>
      <c r="H23" s="17"/>
      <c r="I23" s="17"/>
      <c r="J23" s="1"/>
    </row>
    <row r="24" spans="1:10" x14ac:dyDescent="0.2">
      <c r="A24" s="19"/>
      <c r="B24" s="17" t="s">
        <v>2</v>
      </c>
      <c r="C24" s="17"/>
      <c r="D24" s="17"/>
      <c r="E24" s="17"/>
      <c r="F24" s="17"/>
      <c r="G24" s="17"/>
      <c r="H24" s="17"/>
      <c r="I24" s="17"/>
      <c r="J24" s="1"/>
    </row>
    <row r="25" spans="1:10" x14ac:dyDescent="0.2">
      <c r="A25" s="19"/>
      <c r="B25" s="17" t="s">
        <v>304</v>
      </c>
      <c r="C25" s="17"/>
      <c r="D25" s="17"/>
      <c r="E25" s="17"/>
      <c r="F25" s="17"/>
      <c r="G25" s="17"/>
      <c r="H25" s="17"/>
      <c r="I25" s="17"/>
      <c r="J25" s="1"/>
    </row>
    <row r="26" spans="1:10" x14ac:dyDescent="0.2">
      <c r="A26" s="19"/>
      <c r="B26" s="17"/>
      <c r="C26" s="17"/>
      <c r="D26" s="17"/>
      <c r="E26" s="17"/>
      <c r="F26" s="17"/>
      <c r="G26" s="17"/>
      <c r="H26" s="17"/>
      <c r="I26" s="17"/>
      <c r="J26" s="1"/>
    </row>
    <row r="27" spans="1:10" x14ac:dyDescent="0.2">
      <c r="A27" s="19"/>
      <c r="B27" s="17" t="s">
        <v>7</v>
      </c>
      <c r="C27" s="17"/>
      <c r="D27" s="17"/>
      <c r="E27" s="17"/>
      <c r="F27" s="17"/>
      <c r="G27" s="17"/>
      <c r="H27" s="17"/>
      <c r="I27" s="17"/>
      <c r="J27" s="1"/>
    </row>
    <row r="28" spans="1:10" x14ac:dyDescent="0.2">
      <c r="A28" s="19"/>
      <c r="B28" s="17" t="s">
        <v>306</v>
      </c>
      <c r="C28" s="17"/>
      <c r="D28" s="17"/>
      <c r="E28" s="17"/>
      <c r="F28" s="17"/>
      <c r="G28" s="17"/>
      <c r="H28" s="17"/>
      <c r="I28" s="17"/>
      <c r="J28" s="1"/>
    </row>
    <row r="29" spans="1:10" x14ac:dyDescent="0.2">
      <c r="A29" s="19"/>
      <c r="B29" s="17"/>
      <c r="C29" s="17"/>
      <c r="D29" s="17"/>
      <c r="E29" s="17"/>
      <c r="F29" s="17"/>
      <c r="G29" s="17"/>
      <c r="H29" s="17"/>
      <c r="I29" s="17"/>
      <c r="J29" s="1"/>
    </row>
    <row r="30" spans="1:10" x14ac:dyDescent="0.2">
      <c r="A30" s="19"/>
      <c r="B30" s="17" t="s">
        <v>9</v>
      </c>
      <c r="C30" s="17"/>
      <c r="D30" s="17"/>
      <c r="E30" s="17"/>
      <c r="F30" s="17"/>
      <c r="G30" s="17"/>
      <c r="H30" s="17"/>
      <c r="I30" s="17"/>
      <c r="J30" s="1"/>
    </row>
    <row r="31" spans="1:10" x14ac:dyDescent="0.2">
      <c r="A31" s="19"/>
      <c r="B31" s="17" t="s">
        <v>325</v>
      </c>
      <c r="C31" s="17"/>
      <c r="D31" s="17"/>
      <c r="E31" s="17"/>
      <c r="F31" s="17"/>
      <c r="G31" s="17"/>
      <c r="H31" s="17"/>
      <c r="I31" s="17"/>
      <c r="J31" s="1"/>
    </row>
    <row r="32" spans="1:10" ht="17" thickBot="1" x14ac:dyDescent="0.25">
      <c r="A32" s="20"/>
      <c r="B32" s="6"/>
      <c r="C32" s="64"/>
      <c r="D32" s="64"/>
      <c r="E32" s="64"/>
      <c r="F32" s="6"/>
      <c r="G32" s="6"/>
      <c r="H32" s="6"/>
      <c r="I32" s="6"/>
      <c r="J32" s="7"/>
    </row>
    <row r="33" spans="1:12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12" ht="19" x14ac:dyDescent="0.25">
      <c r="A34" s="21" t="s">
        <v>3</v>
      </c>
      <c r="B34" s="4"/>
      <c r="C34" s="4"/>
      <c r="D34" s="4"/>
      <c r="E34" s="4"/>
      <c r="F34" s="4"/>
      <c r="G34" s="4"/>
      <c r="H34" s="4"/>
      <c r="I34" s="4"/>
    </row>
    <row r="35" spans="1:12" x14ac:dyDescent="0.2">
      <c r="A35" s="22"/>
      <c r="B35" s="4" t="s">
        <v>0</v>
      </c>
      <c r="C35" s="23"/>
      <c r="D35" s="4"/>
      <c r="E35" s="4"/>
      <c r="F35" s="4"/>
      <c r="G35" s="4"/>
      <c r="H35" s="4"/>
      <c r="I35" s="4"/>
    </row>
    <row r="36" spans="1:12" x14ac:dyDescent="0.2">
      <c r="A36" s="4"/>
      <c r="B36" s="4" t="s">
        <v>307</v>
      </c>
      <c r="C36" s="4"/>
      <c r="D36" s="4"/>
      <c r="E36" s="4"/>
      <c r="F36" s="4"/>
      <c r="G36" s="4"/>
      <c r="H36" s="4"/>
      <c r="I36" s="4"/>
    </row>
    <row r="37" spans="1:12" x14ac:dyDescent="0.2">
      <c r="A37" s="4"/>
      <c r="B37" s="4"/>
      <c r="C37" s="4"/>
      <c r="D37" s="4"/>
      <c r="E37" s="4"/>
      <c r="F37" s="4"/>
      <c r="G37" s="4"/>
      <c r="H37" s="4"/>
      <c r="I37" s="4"/>
      <c r="L37" s="24"/>
    </row>
    <row r="38" spans="1:12" ht="34" x14ac:dyDescent="0.2">
      <c r="A38" s="4"/>
      <c r="B38" s="4"/>
      <c r="C38" s="189" t="s">
        <v>454</v>
      </c>
      <c r="D38" s="30" t="s">
        <v>300</v>
      </c>
      <c r="E38" s="147" t="s">
        <v>308</v>
      </c>
      <c r="F38" s="147" t="s">
        <v>309</v>
      </c>
      <c r="G38" s="4"/>
      <c r="H38" s="4"/>
      <c r="I38" s="4"/>
      <c r="L38" s="24"/>
    </row>
    <row r="39" spans="1:12" x14ac:dyDescent="0.2">
      <c r="A39" s="4"/>
      <c r="B39" s="4"/>
      <c r="C39" s="14">
        <f>D7</f>
        <v>2000</v>
      </c>
      <c r="D39" s="85">
        <f t="shared" ref="D39:D46" si="0">E7</f>
        <v>16</v>
      </c>
      <c r="E39" s="42">
        <f>D39/SUM(D$39:D$46)</f>
        <v>0.32</v>
      </c>
      <c r="F39" s="190">
        <f>MAX(0,C39-15000)</f>
        <v>0</v>
      </c>
      <c r="G39" s="4"/>
      <c r="H39" s="4"/>
      <c r="I39" s="4"/>
      <c r="L39" s="24"/>
    </row>
    <row r="40" spans="1:12" x14ac:dyDescent="0.2">
      <c r="A40" s="4"/>
      <c r="B40" s="4"/>
      <c r="C40" s="14">
        <f t="shared" ref="C40" si="1">D8</f>
        <v>4000</v>
      </c>
      <c r="D40" s="85">
        <f>E8</f>
        <v>8</v>
      </c>
      <c r="E40" s="42">
        <f>D40/SUM(D$39:D$46)</f>
        <v>0.16</v>
      </c>
      <c r="F40" s="190">
        <f t="shared" ref="F40:F46" si="2">MAX(0,C40-15000)</f>
        <v>0</v>
      </c>
      <c r="G40" s="4"/>
      <c r="H40" s="4"/>
      <c r="I40" s="4"/>
      <c r="L40" s="24"/>
    </row>
    <row r="41" spans="1:12" x14ac:dyDescent="0.2">
      <c r="A41" s="4"/>
      <c r="B41" s="4"/>
      <c r="C41" s="14">
        <f t="shared" ref="C41" si="3">D9</f>
        <v>5000</v>
      </c>
      <c r="D41" s="85">
        <f t="shared" si="0"/>
        <v>6</v>
      </c>
      <c r="E41" s="42">
        <f t="shared" ref="E41:E46" si="4">D41/SUM(D$39:D$46)</f>
        <v>0.12</v>
      </c>
      <c r="F41" s="190">
        <f t="shared" si="2"/>
        <v>0</v>
      </c>
      <c r="G41" s="4"/>
      <c r="H41" s="4"/>
      <c r="I41" s="4"/>
      <c r="L41" s="24"/>
    </row>
    <row r="42" spans="1:12" x14ac:dyDescent="0.2">
      <c r="A42" s="4"/>
      <c r="B42" s="4"/>
      <c r="C42" s="14">
        <f t="shared" ref="C42" si="5">D10</f>
        <v>7500</v>
      </c>
      <c r="D42" s="85">
        <f t="shared" si="0"/>
        <v>4</v>
      </c>
      <c r="E42" s="42">
        <f t="shared" si="4"/>
        <v>0.08</v>
      </c>
      <c r="F42" s="190">
        <f t="shared" si="2"/>
        <v>0</v>
      </c>
      <c r="G42" s="4"/>
      <c r="H42" s="4"/>
      <c r="I42" s="4"/>
      <c r="L42" s="24"/>
    </row>
    <row r="43" spans="1:12" x14ac:dyDescent="0.2">
      <c r="A43" s="4"/>
      <c r="B43" s="4"/>
      <c r="C43" s="14">
        <f t="shared" ref="C43" si="6">D11</f>
        <v>10000</v>
      </c>
      <c r="D43" s="85">
        <f t="shared" si="0"/>
        <v>4</v>
      </c>
      <c r="E43" s="42">
        <f>D43/SUM(D$39:D$46)</f>
        <v>0.08</v>
      </c>
      <c r="F43" s="190">
        <f t="shared" si="2"/>
        <v>0</v>
      </c>
      <c r="G43" s="4"/>
      <c r="H43" s="4"/>
      <c r="I43" s="49"/>
      <c r="L43" s="24"/>
    </row>
    <row r="44" spans="1:12" x14ac:dyDescent="0.2">
      <c r="A44" s="4"/>
      <c r="B44" s="4"/>
      <c r="C44" s="14">
        <f t="shared" ref="C44" si="7">D12</f>
        <v>20000</v>
      </c>
      <c r="D44" s="85">
        <f t="shared" si="0"/>
        <v>2</v>
      </c>
      <c r="E44" s="42">
        <f t="shared" si="4"/>
        <v>0.04</v>
      </c>
      <c r="F44" s="190">
        <f t="shared" si="2"/>
        <v>5000</v>
      </c>
      <c r="G44" s="4"/>
      <c r="H44" s="4"/>
      <c r="I44" s="4"/>
      <c r="L44" s="24"/>
    </row>
    <row r="45" spans="1:12" x14ac:dyDescent="0.2">
      <c r="A45" s="4"/>
      <c r="B45" s="4"/>
      <c r="C45" s="14">
        <f t="shared" ref="C45" si="8">D13</f>
        <v>25000</v>
      </c>
      <c r="D45" s="85">
        <f t="shared" si="0"/>
        <v>6</v>
      </c>
      <c r="E45" s="42">
        <f t="shared" si="4"/>
        <v>0.12</v>
      </c>
      <c r="F45" s="190">
        <f t="shared" si="2"/>
        <v>10000</v>
      </c>
      <c r="G45" s="4"/>
      <c r="H45" s="4"/>
      <c r="I45" s="4"/>
      <c r="L45" s="24"/>
    </row>
    <row r="46" spans="1:12" x14ac:dyDescent="0.2">
      <c r="A46" s="22"/>
      <c r="B46" s="4"/>
      <c r="C46" s="14">
        <f t="shared" ref="C46" si="9">D14</f>
        <v>60000</v>
      </c>
      <c r="D46" s="85">
        <f t="shared" si="0"/>
        <v>4</v>
      </c>
      <c r="E46" s="42">
        <f t="shared" si="4"/>
        <v>0.08</v>
      </c>
      <c r="F46" s="190">
        <f t="shared" si="2"/>
        <v>45000</v>
      </c>
      <c r="G46" s="4"/>
      <c r="H46" s="4"/>
      <c r="I46" s="4"/>
    </row>
    <row r="47" spans="1:12" x14ac:dyDescent="0.2">
      <c r="A47" s="4"/>
      <c r="B47" s="4"/>
      <c r="C47" s="4"/>
      <c r="D47" s="4"/>
      <c r="E47" s="4"/>
      <c r="F47" s="4"/>
      <c r="G47" s="4"/>
      <c r="H47" s="4"/>
      <c r="I47" s="4"/>
    </row>
    <row r="48" spans="1:12" x14ac:dyDescent="0.2">
      <c r="A48" s="4"/>
      <c r="B48" s="4"/>
      <c r="C48" s="4"/>
      <c r="D48" s="4"/>
      <c r="E48" s="94" t="s">
        <v>310</v>
      </c>
      <c r="F48" s="49">
        <f>SUMPRODUCT(E39:E46,F39:F46)</f>
        <v>5000</v>
      </c>
      <c r="G48" s="4"/>
      <c r="H48" s="4"/>
      <c r="I48" s="4"/>
    </row>
    <row r="49" spans="1:14" x14ac:dyDescent="0.2">
      <c r="A49" s="4"/>
      <c r="B49" s="4"/>
      <c r="C49" s="4"/>
      <c r="D49" s="4"/>
      <c r="E49" s="4"/>
      <c r="F49" s="4"/>
      <c r="G49" s="4"/>
      <c r="H49" s="4"/>
      <c r="I49" s="4"/>
    </row>
    <row r="50" spans="1:14" x14ac:dyDescent="0.2">
      <c r="A50" s="4"/>
      <c r="B50" s="4" t="s">
        <v>1</v>
      </c>
      <c r="C50" s="4"/>
      <c r="D50" s="4"/>
      <c r="E50" s="4"/>
      <c r="F50" s="4"/>
      <c r="G50" s="4"/>
      <c r="H50" s="4"/>
      <c r="I50" s="4"/>
    </row>
    <row r="51" spans="1:14" x14ac:dyDescent="0.2">
      <c r="A51" s="4"/>
      <c r="B51" s="4" t="s">
        <v>311</v>
      </c>
      <c r="C51" s="4"/>
      <c r="D51" s="4"/>
      <c r="E51" s="4"/>
      <c r="F51" s="4"/>
      <c r="G51" s="4"/>
      <c r="H51" s="4"/>
      <c r="I51" s="4"/>
    </row>
    <row r="52" spans="1:14" x14ac:dyDescent="0.2">
      <c r="A52" s="4"/>
      <c r="B52" s="4"/>
      <c r="C52" s="4"/>
      <c r="D52" s="4"/>
      <c r="E52" s="4"/>
      <c r="F52" s="4"/>
      <c r="G52" s="4"/>
      <c r="H52" s="4"/>
      <c r="I52" s="4"/>
    </row>
    <row r="53" spans="1:14" ht="34" x14ac:dyDescent="0.2">
      <c r="A53" s="4"/>
      <c r="B53" s="4"/>
      <c r="C53" s="189" t="s">
        <v>454</v>
      </c>
      <c r="D53" s="30" t="s">
        <v>300</v>
      </c>
      <c r="E53" s="147" t="s">
        <v>308</v>
      </c>
      <c r="F53" s="147" t="s">
        <v>312</v>
      </c>
      <c r="G53" s="4"/>
      <c r="H53" s="4"/>
      <c r="I53" s="4"/>
    </row>
    <row r="54" spans="1:14" x14ac:dyDescent="0.2">
      <c r="A54" s="4"/>
      <c r="B54" s="4"/>
      <c r="C54" s="14">
        <f>D7</f>
        <v>2000</v>
      </c>
      <c r="D54" s="85">
        <f t="shared" ref="D54:D61" si="10">E7</f>
        <v>16</v>
      </c>
      <c r="E54" s="42">
        <f>D54/SUM(D$39:D$46)</f>
        <v>0.32</v>
      </c>
      <c r="F54" s="190">
        <f>MAX(0,6000-C54)</f>
        <v>4000</v>
      </c>
      <c r="G54" s="4"/>
      <c r="H54" s="4"/>
      <c r="I54" s="4"/>
    </row>
    <row r="55" spans="1:14" x14ac:dyDescent="0.2">
      <c r="A55" s="4"/>
      <c r="B55" s="4"/>
      <c r="C55" s="14">
        <f t="shared" ref="C55" si="11">D8</f>
        <v>4000</v>
      </c>
      <c r="D55" s="85">
        <f t="shared" si="10"/>
        <v>8</v>
      </c>
      <c r="E55" s="42">
        <f t="shared" ref="E55:E61" si="12">D55/SUM(D$39:D$46)</f>
        <v>0.16</v>
      </c>
      <c r="F55" s="190">
        <f t="shared" ref="F55:F61" si="13">MAX(0,6000-C55)</f>
        <v>2000</v>
      </c>
      <c r="G55" s="4"/>
      <c r="H55" s="4"/>
      <c r="I55" s="4"/>
    </row>
    <row r="56" spans="1:14" x14ac:dyDescent="0.2">
      <c r="A56" s="4"/>
      <c r="B56" s="4"/>
      <c r="C56" s="14">
        <f t="shared" ref="C56" si="14">D9</f>
        <v>5000</v>
      </c>
      <c r="D56" s="85">
        <f t="shared" si="10"/>
        <v>6</v>
      </c>
      <c r="E56" s="42">
        <f t="shared" si="12"/>
        <v>0.12</v>
      </c>
      <c r="F56" s="190">
        <f t="shared" si="13"/>
        <v>1000</v>
      </c>
      <c r="G56" s="4"/>
      <c r="H56" s="4"/>
      <c r="I56" s="4"/>
    </row>
    <row r="57" spans="1:14" x14ac:dyDescent="0.2">
      <c r="A57" s="22"/>
      <c r="B57" s="4"/>
      <c r="C57" s="14">
        <f t="shared" ref="C57" si="15">D10</f>
        <v>7500</v>
      </c>
      <c r="D57" s="85">
        <f t="shared" si="10"/>
        <v>4</v>
      </c>
      <c r="E57" s="42">
        <f t="shared" si="12"/>
        <v>0.08</v>
      </c>
      <c r="F57" s="190">
        <f t="shared" si="13"/>
        <v>0</v>
      </c>
      <c r="G57" s="4"/>
      <c r="H57" s="4"/>
      <c r="I57" s="4"/>
    </row>
    <row r="58" spans="1:14" x14ac:dyDescent="0.2">
      <c r="A58" s="4"/>
      <c r="B58" s="4"/>
      <c r="C58" s="14">
        <f t="shared" ref="C58" si="16">D11</f>
        <v>10000</v>
      </c>
      <c r="D58" s="85">
        <f t="shared" si="10"/>
        <v>4</v>
      </c>
      <c r="E58" s="42">
        <f t="shared" si="12"/>
        <v>0.08</v>
      </c>
      <c r="F58" s="190">
        <f t="shared" si="13"/>
        <v>0</v>
      </c>
      <c r="G58" s="4"/>
      <c r="H58" s="4"/>
      <c r="I58" s="4"/>
      <c r="L58" s="4"/>
      <c r="M58" s="23"/>
      <c r="N58" s="4"/>
    </row>
    <row r="59" spans="1:14" x14ac:dyDescent="0.2">
      <c r="A59" s="4"/>
      <c r="B59" s="4"/>
      <c r="C59" s="14">
        <f t="shared" ref="C59" si="17">D12</f>
        <v>20000</v>
      </c>
      <c r="D59" s="85">
        <f t="shared" si="10"/>
        <v>2</v>
      </c>
      <c r="E59" s="42">
        <f t="shared" si="12"/>
        <v>0.04</v>
      </c>
      <c r="F59" s="190">
        <f t="shared" si="13"/>
        <v>0</v>
      </c>
      <c r="G59" s="4"/>
      <c r="H59" s="4"/>
      <c r="I59" s="4"/>
      <c r="L59" s="24"/>
      <c r="M59" s="24"/>
      <c r="N59" s="24"/>
    </row>
    <row r="60" spans="1:14" x14ac:dyDescent="0.2">
      <c r="A60" s="4"/>
      <c r="B60" s="4"/>
      <c r="C60" s="14">
        <f t="shared" ref="C60" si="18">D13</f>
        <v>25000</v>
      </c>
      <c r="D60" s="85">
        <f t="shared" si="10"/>
        <v>6</v>
      </c>
      <c r="E60" s="42">
        <f t="shared" si="12"/>
        <v>0.12</v>
      </c>
      <c r="F60" s="190">
        <f t="shared" si="13"/>
        <v>0</v>
      </c>
      <c r="G60" s="4"/>
      <c r="H60" s="4"/>
      <c r="I60" s="4"/>
      <c r="L60" s="24"/>
      <c r="M60" s="24"/>
      <c r="N60" s="24"/>
    </row>
    <row r="61" spans="1:14" x14ac:dyDescent="0.2">
      <c r="A61" s="4"/>
      <c r="B61" s="4"/>
      <c r="C61" s="14">
        <f t="shared" ref="C61" si="19">D14</f>
        <v>60000</v>
      </c>
      <c r="D61" s="85">
        <f t="shared" si="10"/>
        <v>4</v>
      </c>
      <c r="E61" s="42">
        <f t="shared" si="12"/>
        <v>0.08</v>
      </c>
      <c r="F61" s="190">
        <f t="shared" si="13"/>
        <v>0</v>
      </c>
      <c r="G61" s="4"/>
      <c r="H61" s="4"/>
      <c r="I61" s="4"/>
      <c r="L61" s="24"/>
      <c r="M61" s="24"/>
      <c r="N61" s="24"/>
    </row>
    <row r="62" spans="1:14" x14ac:dyDescent="0.2">
      <c r="A62" s="4"/>
      <c r="B62" s="4"/>
      <c r="C62" s="4"/>
      <c r="D62" s="4"/>
      <c r="E62" s="4"/>
      <c r="F62" s="4"/>
      <c r="G62" s="4"/>
      <c r="H62" s="4"/>
      <c r="I62" s="4"/>
      <c r="L62" s="24"/>
      <c r="M62" s="24"/>
      <c r="N62" s="24"/>
    </row>
    <row r="63" spans="1:14" x14ac:dyDescent="0.2">
      <c r="A63" s="4"/>
      <c r="B63" s="4"/>
      <c r="C63" s="4"/>
      <c r="D63" s="4"/>
      <c r="E63" s="191" t="s">
        <v>455</v>
      </c>
      <c r="F63" s="49">
        <f>SUMPRODUCT(E54:E61,F54:F61)</f>
        <v>1720</v>
      </c>
      <c r="G63" s="4"/>
      <c r="H63" s="4"/>
      <c r="I63" s="4"/>
      <c r="L63" s="24"/>
      <c r="M63" s="24"/>
      <c r="N63" s="24"/>
    </row>
    <row r="64" spans="1:14" x14ac:dyDescent="0.2">
      <c r="A64" s="4"/>
      <c r="B64" s="4"/>
      <c r="C64" s="4"/>
      <c r="D64" s="4"/>
      <c r="E64" s="4"/>
      <c r="F64" s="4"/>
      <c r="G64" s="4"/>
      <c r="H64" s="4"/>
      <c r="I64" s="4"/>
      <c r="L64" s="24"/>
      <c r="M64" s="24"/>
      <c r="N64" s="24"/>
    </row>
    <row r="65" spans="1:14" x14ac:dyDescent="0.2">
      <c r="A65" s="4"/>
      <c r="B65" s="4" t="s">
        <v>2</v>
      </c>
      <c r="C65" s="4"/>
      <c r="D65" s="4"/>
      <c r="E65" s="4"/>
      <c r="F65" s="4"/>
      <c r="G65" s="4"/>
      <c r="H65" s="4"/>
      <c r="I65" s="4"/>
      <c r="L65" s="24"/>
      <c r="M65" s="24"/>
      <c r="N65" s="24"/>
    </row>
    <row r="66" spans="1:14" x14ac:dyDescent="0.2">
      <c r="A66" s="4"/>
      <c r="B66" s="4" t="s">
        <v>313</v>
      </c>
      <c r="C66" s="4"/>
      <c r="D66" s="4"/>
      <c r="E66" s="4"/>
      <c r="F66" s="4"/>
      <c r="G66" s="4"/>
      <c r="H66" s="4"/>
      <c r="I66" s="4"/>
      <c r="L66" s="24"/>
      <c r="M66" s="24"/>
      <c r="N66" s="24"/>
    </row>
    <row r="67" spans="1:14" ht="17" thickBot="1" x14ac:dyDescent="0.25">
      <c r="A67" s="32"/>
      <c r="B67" s="32"/>
      <c r="C67" s="32"/>
      <c r="D67" s="32"/>
      <c r="E67" s="32"/>
      <c r="F67" s="32"/>
      <c r="G67" s="32"/>
      <c r="H67" s="32"/>
      <c r="I67" s="4"/>
      <c r="L67" s="24"/>
      <c r="M67" s="24"/>
      <c r="N67" s="24"/>
    </row>
    <row r="68" spans="1:14" ht="19" thickBot="1" x14ac:dyDescent="0.3">
      <c r="A68" s="32"/>
      <c r="B68" s="32"/>
      <c r="C68" s="26" t="s">
        <v>315</v>
      </c>
      <c r="D68" s="15">
        <f>SUMPRODUCT(D7:D14,E7:E14)/SUM(E7:E14)</f>
        <v>11880</v>
      </c>
      <c r="E68" s="32"/>
      <c r="F68" s="32"/>
      <c r="G68" s="9" t="s">
        <v>314</v>
      </c>
      <c r="H68" s="35">
        <f>10000/D68</f>
        <v>0.84175084175084181</v>
      </c>
      <c r="I68" s="4"/>
      <c r="L68" s="4"/>
      <c r="M68" s="23"/>
      <c r="N68" s="4"/>
    </row>
    <row r="69" spans="1:14" x14ac:dyDescent="0.2">
      <c r="A69" s="32"/>
      <c r="B69" s="32"/>
      <c r="C69" s="32"/>
      <c r="D69" s="32"/>
      <c r="E69" s="32"/>
      <c r="F69" s="32"/>
      <c r="G69" s="32"/>
      <c r="H69" s="32"/>
      <c r="I69" s="4"/>
      <c r="L69" s="24"/>
      <c r="M69" s="24"/>
      <c r="N69" s="24"/>
    </row>
    <row r="70" spans="1:14" x14ac:dyDescent="0.2">
      <c r="A70" s="32"/>
      <c r="B70" s="32" t="s">
        <v>7</v>
      </c>
      <c r="C70" s="32"/>
      <c r="D70" s="32"/>
      <c r="E70" s="32"/>
      <c r="F70" s="32"/>
      <c r="G70" s="32"/>
      <c r="H70" s="32"/>
      <c r="I70" s="4"/>
      <c r="L70" s="24"/>
      <c r="M70" s="24"/>
      <c r="N70" s="24"/>
    </row>
    <row r="71" spans="1:14" x14ac:dyDescent="0.2">
      <c r="A71" s="32"/>
      <c r="B71" s="32"/>
      <c r="C71" s="32"/>
      <c r="D71" s="32"/>
      <c r="E71" s="32"/>
      <c r="F71" s="32"/>
      <c r="G71" s="32"/>
      <c r="H71" s="32"/>
      <c r="I71" s="4"/>
      <c r="L71" s="24"/>
      <c r="M71" s="24"/>
      <c r="N71" s="24"/>
    </row>
    <row r="72" spans="1:14" x14ac:dyDescent="0.2">
      <c r="A72" s="32"/>
      <c r="B72" s="32"/>
      <c r="C72" s="32"/>
      <c r="D72" s="32"/>
      <c r="E72" s="32"/>
      <c r="F72" s="32"/>
      <c r="G72" s="32"/>
      <c r="H72" s="32"/>
      <c r="I72" s="4"/>
      <c r="L72" s="24"/>
      <c r="M72" s="24"/>
      <c r="N72" s="24"/>
    </row>
    <row r="73" spans="1:14" x14ac:dyDescent="0.2">
      <c r="A73" s="32"/>
      <c r="B73" s="32"/>
      <c r="C73" s="100" t="s">
        <v>317</v>
      </c>
      <c r="D73" s="100" t="s">
        <v>318</v>
      </c>
      <c r="E73" s="100" t="s">
        <v>319</v>
      </c>
      <c r="F73" s="100" t="s">
        <v>320</v>
      </c>
      <c r="G73" s="100" t="s">
        <v>321</v>
      </c>
      <c r="H73" s="100" t="s">
        <v>322</v>
      </c>
      <c r="I73" s="4"/>
      <c r="L73" s="24"/>
      <c r="M73" s="24"/>
      <c r="N73" s="24"/>
    </row>
    <row r="74" spans="1:14" ht="51" x14ac:dyDescent="0.2">
      <c r="A74" s="32"/>
      <c r="B74" s="32"/>
      <c r="C74" s="189" t="s">
        <v>454</v>
      </c>
      <c r="D74" s="138" t="str">
        <f>"Entry ratio = (1) /     "&amp;TEXT(D68,"0.00")</f>
        <v>Entry ratio = (1) /     11880.00</v>
      </c>
      <c r="E74" s="57" t="s">
        <v>300</v>
      </c>
      <c r="F74" s="139" t="s">
        <v>323</v>
      </c>
      <c r="G74" s="139" t="s">
        <v>324</v>
      </c>
      <c r="H74" s="129" t="s">
        <v>457</v>
      </c>
      <c r="I74" s="4"/>
      <c r="L74" s="24"/>
      <c r="M74" s="24"/>
      <c r="N74" s="24"/>
    </row>
    <row r="75" spans="1:14" x14ac:dyDescent="0.2">
      <c r="A75" s="32"/>
      <c r="B75" s="32"/>
      <c r="C75" s="146">
        <v>0</v>
      </c>
      <c r="D75" s="78">
        <f>C75/D$68</f>
        <v>0</v>
      </c>
      <c r="E75" s="102">
        <v>0</v>
      </c>
      <c r="F75" s="101">
        <f>SUM(E76:E$83)</f>
        <v>50</v>
      </c>
      <c r="G75" s="103">
        <f>F75/SUM(E$75:E$83)</f>
        <v>1</v>
      </c>
      <c r="H75" s="104">
        <f t="shared" ref="H75:H81" si="20">H76+(D76-D75)*G75</f>
        <v>1</v>
      </c>
      <c r="I75" s="4"/>
      <c r="L75" s="24"/>
      <c r="M75" s="24"/>
      <c r="N75" s="24"/>
    </row>
    <row r="76" spans="1:14" x14ac:dyDescent="0.2">
      <c r="A76" s="32"/>
      <c r="B76" s="32"/>
      <c r="C76" s="14">
        <f>D7</f>
        <v>2000</v>
      </c>
      <c r="D76" s="78">
        <f>C76/D$68</f>
        <v>0.16835016835016836</v>
      </c>
      <c r="E76" s="84">
        <f>E7</f>
        <v>16</v>
      </c>
      <c r="F76" s="101">
        <f>SUM(E77:E$83)</f>
        <v>34</v>
      </c>
      <c r="G76" s="103">
        <f t="shared" ref="G76:G83" si="21">F76/SUM(E$75:E$83)</f>
        <v>0.68</v>
      </c>
      <c r="H76" s="104">
        <f t="shared" si="20"/>
        <v>0.83164983164983164</v>
      </c>
      <c r="I76" s="4"/>
      <c r="L76" s="24"/>
      <c r="M76" s="24"/>
      <c r="N76" s="24"/>
    </row>
    <row r="77" spans="1:14" x14ac:dyDescent="0.2">
      <c r="A77" s="32"/>
      <c r="B77" s="32"/>
      <c r="C77" s="14">
        <f t="shared" ref="C77:C83" si="22">D8</f>
        <v>4000</v>
      </c>
      <c r="D77" s="78">
        <f t="shared" ref="D77:D83" si="23">C77/D$68</f>
        <v>0.33670033670033672</v>
      </c>
      <c r="E77" s="84">
        <f t="shared" ref="E77:E83" si="24">E8</f>
        <v>8</v>
      </c>
      <c r="F77" s="101">
        <f>SUM(E78:E$83)</f>
        <v>26</v>
      </c>
      <c r="G77" s="103">
        <f t="shared" si="21"/>
        <v>0.52</v>
      </c>
      <c r="H77" s="104">
        <f t="shared" si="20"/>
        <v>0.71717171717171713</v>
      </c>
      <c r="I77" s="4"/>
      <c r="L77" s="24"/>
      <c r="M77" s="24"/>
      <c r="N77" s="24"/>
    </row>
    <row r="78" spans="1:14" x14ac:dyDescent="0.2">
      <c r="A78" s="4"/>
      <c r="B78" s="4"/>
      <c r="C78" s="14">
        <f t="shared" si="22"/>
        <v>5000</v>
      </c>
      <c r="D78" s="78">
        <f t="shared" si="23"/>
        <v>0.4208754208754209</v>
      </c>
      <c r="E78" s="84">
        <f t="shared" si="24"/>
        <v>6</v>
      </c>
      <c r="F78" s="101">
        <f>SUM(E79:E$83)</f>
        <v>20</v>
      </c>
      <c r="G78" s="103">
        <f t="shared" si="21"/>
        <v>0.4</v>
      </c>
      <c r="H78" s="104">
        <f t="shared" si="20"/>
        <v>0.67340067340067333</v>
      </c>
      <c r="I78" s="4"/>
      <c r="L78" s="24"/>
      <c r="M78" s="24"/>
      <c r="N78" s="24"/>
    </row>
    <row r="79" spans="1:14" x14ac:dyDescent="0.2">
      <c r="A79" s="4"/>
      <c r="B79" s="4"/>
      <c r="C79" s="14">
        <f t="shared" si="22"/>
        <v>7500</v>
      </c>
      <c r="D79" s="78">
        <f t="shared" si="23"/>
        <v>0.63131313131313127</v>
      </c>
      <c r="E79" s="84">
        <f t="shared" si="24"/>
        <v>4</v>
      </c>
      <c r="F79" s="101">
        <f>SUM(E80:E$83)</f>
        <v>16</v>
      </c>
      <c r="G79" s="103">
        <f t="shared" si="21"/>
        <v>0.32</v>
      </c>
      <c r="H79" s="104">
        <f t="shared" si="20"/>
        <v>0.58922558922558921</v>
      </c>
      <c r="I79" s="4"/>
      <c r="L79" s="24"/>
      <c r="M79" s="24"/>
      <c r="N79" s="24"/>
    </row>
    <row r="80" spans="1:14" x14ac:dyDescent="0.2">
      <c r="A80" s="4"/>
      <c r="B80" s="4"/>
      <c r="C80" s="14">
        <f t="shared" si="22"/>
        <v>10000</v>
      </c>
      <c r="D80" s="78">
        <f t="shared" si="23"/>
        <v>0.84175084175084181</v>
      </c>
      <c r="E80" s="84">
        <f t="shared" si="24"/>
        <v>4</v>
      </c>
      <c r="F80" s="101">
        <f>SUM(E81:E$83)</f>
        <v>12</v>
      </c>
      <c r="G80" s="103">
        <f t="shared" si="21"/>
        <v>0.24</v>
      </c>
      <c r="H80" s="104">
        <f t="shared" si="20"/>
        <v>0.52188552188552184</v>
      </c>
      <c r="I80" s="4"/>
      <c r="L80" s="24"/>
      <c r="M80" s="24"/>
      <c r="N80" s="24"/>
    </row>
    <row r="81" spans="1:14" x14ac:dyDescent="0.2">
      <c r="A81" s="4"/>
      <c r="B81" s="4"/>
      <c r="C81" s="14">
        <f t="shared" si="22"/>
        <v>20000</v>
      </c>
      <c r="D81" s="78">
        <f t="shared" si="23"/>
        <v>1.6835016835016836</v>
      </c>
      <c r="E81" s="84">
        <f t="shared" si="24"/>
        <v>2</v>
      </c>
      <c r="F81" s="101">
        <f>SUM(E82:E$83)</f>
        <v>10</v>
      </c>
      <c r="G81" s="103">
        <f t="shared" si="21"/>
        <v>0.2</v>
      </c>
      <c r="H81" s="104">
        <f t="shared" si="20"/>
        <v>0.3198653198653198</v>
      </c>
      <c r="I81" s="4"/>
      <c r="L81" s="24"/>
      <c r="M81" s="24"/>
      <c r="N81" s="24"/>
    </row>
    <row r="82" spans="1:14" x14ac:dyDescent="0.2">
      <c r="A82" s="4"/>
      <c r="B82" s="4"/>
      <c r="C82" s="14">
        <f t="shared" si="22"/>
        <v>25000</v>
      </c>
      <c r="D82" s="78">
        <f t="shared" si="23"/>
        <v>2.1043771043771042</v>
      </c>
      <c r="E82" s="84">
        <f t="shared" si="24"/>
        <v>6</v>
      </c>
      <c r="F82" s="101">
        <f>SUM(E83:E$83)</f>
        <v>4</v>
      </c>
      <c r="G82" s="103">
        <f t="shared" si="21"/>
        <v>0.08</v>
      </c>
      <c r="H82" s="104">
        <f>H83+(D83-D82)*G82</f>
        <v>0.23569023569023567</v>
      </c>
      <c r="I82" s="4"/>
      <c r="L82" s="4"/>
      <c r="M82" s="23"/>
      <c r="N82" s="4"/>
    </row>
    <row r="83" spans="1:14" x14ac:dyDescent="0.2">
      <c r="A83" s="4"/>
      <c r="B83" s="4"/>
      <c r="C83" s="14">
        <f t="shared" si="22"/>
        <v>60000</v>
      </c>
      <c r="D83" s="78">
        <f t="shared" si="23"/>
        <v>5.0505050505050502</v>
      </c>
      <c r="E83" s="84">
        <f t="shared" si="24"/>
        <v>4</v>
      </c>
      <c r="F83" s="192">
        <v>0</v>
      </c>
      <c r="G83" s="103">
        <f t="shared" si="21"/>
        <v>0</v>
      </c>
      <c r="H83" s="42">
        <v>0</v>
      </c>
      <c r="I83" s="4"/>
      <c r="L83" s="24"/>
      <c r="M83" s="24"/>
      <c r="N83" s="24"/>
    </row>
    <row r="84" spans="1:14" x14ac:dyDescent="0.2">
      <c r="A84" s="4"/>
      <c r="B84" s="4"/>
      <c r="C84" s="4"/>
      <c r="D84" s="4"/>
      <c r="E84" s="4"/>
      <c r="F84" s="4"/>
      <c r="G84" s="4"/>
      <c r="H84" s="4"/>
      <c r="I84" s="4"/>
      <c r="L84" s="24"/>
      <c r="M84" s="24"/>
      <c r="N84" s="24"/>
    </row>
    <row r="85" spans="1:14" x14ac:dyDescent="0.2">
      <c r="A85" s="4"/>
      <c r="B85" s="4" t="s">
        <v>9</v>
      </c>
      <c r="C85" s="4"/>
      <c r="D85" s="4"/>
      <c r="E85" s="4"/>
      <c r="F85" s="4"/>
      <c r="G85" s="4"/>
      <c r="H85" s="4"/>
      <c r="I85" s="4"/>
      <c r="L85" s="24"/>
      <c r="M85" s="24"/>
      <c r="N85" s="24"/>
    </row>
    <row r="86" spans="1:14" ht="17" thickBot="1" x14ac:dyDescent="0.25">
      <c r="A86" s="4"/>
      <c r="B86" s="4"/>
      <c r="C86" s="4"/>
      <c r="D86" s="4"/>
      <c r="E86" s="4"/>
      <c r="F86" s="4"/>
      <c r="G86" s="4"/>
      <c r="H86" s="4"/>
      <c r="I86" s="4"/>
      <c r="L86" s="24"/>
      <c r="M86" s="24"/>
      <c r="N86" s="24"/>
    </row>
    <row r="87" spans="1:14" ht="17" thickBot="1" x14ac:dyDescent="0.25">
      <c r="A87" s="4"/>
      <c r="B87" s="46" t="s">
        <v>456</v>
      </c>
      <c r="C87" s="67">
        <f>H79+D79-1</f>
        <v>0.22053872053872059</v>
      </c>
      <c r="D87" s="4"/>
      <c r="E87" s="4"/>
      <c r="F87" s="4"/>
      <c r="G87" s="4"/>
      <c r="H87" s="4"/>
      <c r="I87" s="4"/>
      <c r="L87" s="24"/>
      <c r="M87" s="24"/>
      <c r="N87" s="24"/>
    </row>
    <row r="88" spans="1:14" x14ac:dyDescent="0.2">
      <c r="A88" s="4"/>
      <c r="B88" s="4"/>
      <c r="C88" s="4"/>
      <c r="D88" s="4"/>
      <c r="E88" s="4"/>
      <c r="F88" s="4"/>
      <c r="G88" s="4"/>
      <c r="H88" s="4"/>
      <c r="I88" s="4"/>
      <c r="L88" s="24"/>
      <c r="M88" s="24"/>
      <c r="N88" s="24"/>
    </row>
    <row r="89" spans="1:14" ht="19" x14ac:dyDescent="0.25">
      <c r="A89" s="21" t="s">
        <v>5</v>
      </c>
      <c r="B89" s="4"/>
      <c r="C89" s="4"/>
      <c r="D89" s="4"/>
      <c r="E89" s="4"/>
      <c r="F89" s="4"/>
      <c r="G89" s="4"/>
      <c r="H89" s="4"/>
      <c r="I89" s="4"/>
      <c r="L89" s="24"/>
      <c r="M89" s="24"/>
      <c r="N89" s="24"/>
    </row>
    <row r="90" spans="1:14" x14ac:dyDescent="0.2">
      <c r="A90" s="4" t="s">
        <v>326</v>
      </c>
      <c r="B90" s="4"/>
      <c r="C90" s="4"/>
      <c r="D90" s="4"/>
      <c r="E90" s="4"/>
      <c r="F90" s="4"/>
      <c r="G90" s="4"/>
      <c r="H90" s="4"/>
      <c r="I90" s="4"/>
      <c r="L90" s="24"/>
      <c r="M90" s="24"/>
      <c r="N90" s="24"/>
    </row>
    <row r="91" spans="1:14" x14ac:dyDescent="0.2">
      <c r="A91" s="4" t="s">
        <v>327</v>
      </c>
      <c r="B91" s="4"/>
      <c r="C91" s="4"/>
      <c r="D91" s="4"/>
      <c r="E91" s="4"/>
      <c r="F91" s="4"/>
      <c r="G91" s="4"/>
      <c r="H91" s="4"/>
      <c r="I91" s="4"/>
      <c r="L91" s="24"/>
      <c r="M91" s="24"/>
      <c r="N91" s="24"/>
    </row>
    <row r="92" spans="1:14" x14ac:dyDescent="0.2">
      <c r="A92" s="4"/>
      <c r="B92" s="4"/>
      <c r="C92" s="4"/>
      <c r="D92" s="4"/>
      <c r="E92" s="4"/>
      <c r="F92" s="4"/>
      <c r="G92" s="4"/>
      <c r="H92" s="4"/>
      <c r="I92" s="4"/>
      <c r="L92" s="24"/>
      <c r="M92" s="24"/>
      <c r="N92" s="24"/>
    </row>
    <row r="93" spans="1:14" x14ac:dyDescent="0.2">
      <c r="A93" s="4"/>
      <c r="D93" s="4"/>
      <c r="E93" s="94" t="s">
        <v>328</v>
      </c>
      <c r="F93" s="42">
        <v>1</v>
      </c>
      <c r="G93" s="4"/>
      <c r="H93" s="4"/>
      <c r="I93" s="4"/>
      <c r="L93" s="4"/>
      <c r="M93" s="23"/>
      <c r="N93" s="4"/>
    </row>
    <row r="94" spans="1:14" x14ac:dyDescent="0.2">
      <c r="A94" s="4"/>
      <c r="D94" s="4"/>
      <c r="E94" s="94" t="s">
        <v>329</v>
      </c>
      <c r="F94" s="42">
        <v>0</v>
      </c>
      <c r="G94" s="4"/>
      <c r="H94" s="4"/>
      <c r="I94" s="4"/>
      <c r="L94" s="24"/>
      <c r="M94" s="24"/>
      <c r="N94" s="24"/>
    </row>
    <row r="95" spans="1:14" x14ac:dyDescent="0.2">
      <c r="A95" s="4"/>
      <c r="B95" s="4"/>
      <c r="C95" s="4"/>
      <c r="D95" s="4"/>
      <c r="E95" s="4"/>
      <c r="F95" s="4"/>
      <c r="G95" s="4"/>
      <c r="H95" s="4"/>
      <c r="I95" s="4"/>
      <c r="L95" s="24"/>
      <c r="M95" s="24"/>
      <c r="N95" s="24"/>
    </row>
    <row r="96" spans="1:14" x14ac:dyDescent="0.2">
      <c r="A96" s="4" t="s">
        <v>330</v>
      </c>
      <c r="B96" s="4"/>
      <c r="C96" s="4"/>
      <c r="D96" s="4"/>
      <c r="E96" s="4"/>
      <c r="F96" s="4"/>
      <c r="G96" s="4"/>
      <c r="H96" s="4"/>
      <c r="I96" s="4"/>
      <c r="L96" s="24"/>
      <c r="M96" s="24"/>
      <c r="N96" s="24"/>
    </row>
    <row r="97" spans="1:65" x14ac:dyDescent="0.2">
      <c r="A97" s="4" t="s">
        <v>331</v>
      </c>
      <c r="B97" s="4"/>
      <c r="C97" s="4"/>
      <c r="D97" s="4"/>
      <c r="E97" s="4"/>
      <c r="F97" s="4"/>
      <c r="G97" s="4"/>
      <c r="H97" s="4"/>
      <c r="I97" s="4"/>
      <c r="L97" s="24"/>
      <c r="M97" s="24"/>
      <c r="N97" s="24"/>
    </row>
    <row r="98" spans="1:65" x14ac:dyDescent="0.2">
      <c r="A98" s="4"/>
      <c r="B98" s="4"/>
      <c r="C98" s="4"/>
      <c r="D98" s="4"/>
      <c r="E98" s="4"/>
      <c r="F98" s="4"/>
      <c r="G98" s="4"/>
      <c r="H98" s="4"/>
      <c r="I98" s="4"/>
      <c r="L98" s="24"/>
      <c r="M98" s="24"/>
      <c r="N98" s="24"/>
    </row>
    <row r="99" spans="1:65" ht="19" x14ac:dyDescent="0.25">
      <c r="A99" s="21" t="s">
        <v>6</v>
      </c>
      <c r="B99" s="4"/>
      <c r="C99" s="4"/>
      <c r="D99" s="4"/>
      <c r="E99" s="4"/>
      <c r="F99" s="4"/>
      <c r="G99" s="4"/>
      <c r="H99" s="4"/>
      <c r="I99" s="4"/>
      <c r="L99" s="24"/>
      <c r="M99" s="24"/>
      <c r="N99" s="24"/>
    </row>
    <row r="100" spans="1:65" x14ac:dyDescent="0.2">
      <c r="A100" s="4" t="s">
        <v>332</v>
      </c>
      <c r="B100" s="4"/>
      <c r="C100" s="4"/>
      <c r="D100" s="4"/>
      <c r="E100" s="4"/>
      <c r="F100" s="4"/>
      <c r="G100" s="4"/>
      <c r="H100" s="4"/>
      <c r="I100" s="4"/>
      <c r="L100" s="24"/>
      <c r="M100" s="24"/>
      <c r="N100" s="24"/>
    </row>
    <row r="101" spans="1:65" x14ac:dyDescent="0.2">
      <c r="A101" s="4"/>
      <c r="B101" s="4"/>
      <c r="C101" s="4"/>
      <c r="D101" s="4"/>
      <c r="E101" s="4"/>
      <c r="F101" s="4"/>
      <c r="G101" s="4"/>
      <c r="H101" s="4"/>
      <c r="I101" s="4"/>
      <c r="L101" s="24"/>
      <c r="M101" s="24"/>
      <c r="N101" s="24"/>
    </row>
    <row r="102" spans="1:65" x14ac:dyDescent="0.2">
      <c r="A102" s="4"/>
      <c r="B102" s="4"/>
      <c r="C102" s="4"/>
      <c r="D102" s="4"/>
      <c r="E102" s="4"/>
      <c r="F102" s="4"/>
      <c r="G102" s="4"/>
      <c r="H102" s="4"/>
      <c r="I102" s="4"/>
      <c r="L102" s="24"/>
      <c r="M102" s="24"/>
      <c r="N102" s="24"/>
    </row>
    <row r="103" spans="1:65" x14ac:dyDescent="0.2">
      <c r="A103" s="4"/>
      <c r="B103" s="4"/>
      <c r="C103" s="4"/>
      <c r="D103" s="4"/>
      <c r="E103" s="4"/>
      <c r="F103" s="4"/>
      <c r="G103" s="4"/>
      <c r="H103" s="4"/>
      <c r="I103" s="4"/>
      <c r="L103" s="4"/>
      <c r="M103" s="23"/>
      <c r="N103" s="4"/>
    </row>
    <row r="104" spans="1:65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</row>
    <row r="105" spans="1:65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</row>
    <row r="106" spans="1:65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</row>
    <row r="107" spans="1:65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</row>
    <row r="108" spans="1:65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</row>
    <row r="109" spans="1:65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</row>
    <row r="110" spans="1:65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</row>
    <row r="111" spans="1:65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</row>
    <row r="112" spans="1:65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</row>
    <row r="113" spans="1:65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</row>
    <row r="114" spans="1:65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</row>
    <row r="115" spans="1:65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</row>
    <row r="116" spans="1:65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</row>
    <row r="117" spans="1:65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</row>
    <row r="118" spans="1:65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</row>
    <row r="119" spans="1:65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</row>
    <row r="120" spans="1:65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</row>
    <row r="121" spans="1:65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</row>
    <row r="122" spans="1:65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</row>
    <row r="123" spans="1:65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</row>
    <row r="124" spans="1:65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</row>
    <row r="125" spans="1:65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</row>
    <row r="126" spans="1:65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</row>
    <row r="127" spans="1:65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</row>
    <row r="128" spans="1:65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</row>
    <row r="129" spans="1:65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</row>
    <row r="130" spans="1:65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</row>
    <row r="131" spans="1:65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</row>
    <row r="132" spans="1:65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</row>
    <row r="133" spans="1:65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</row>
    <row r="134" spans="1:65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</row>
    <row r="135" spans="1:65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</row>
    <row r="136" spans="1:65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</row>
    <row r="137" spans="1:65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</row>
    <row r="138" spans="1:65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</row>
    <row r="139" spans="1:65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</row>
    <row r="140" spans="1:65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</row>
    <row r="141" spans="1:65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</row>
    <row r="142" spans="1:65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</row>
    <row r="143" spans="1:65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</row>
    <row r="144" spans="1:65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</row>
    <row r="145" spans="1:65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</row>
    <row r="146" spans="1:65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</row>
    <row r="147" spans="1:65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</row>
    <row r="148" spans="1:65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</row>
    <row r="149" spans="1:65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</row>
    <row r="150" spans="1:65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</row>
    <row r="151" spans="1:65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</row>
    <row r="152" spans="1:65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</row>
    <row r="153" spans="1:65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</row>
    <row r="154" spans="1:65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</row>
    <row r="155" spans="1:65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</row>
    <row r="156" spans="1:65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</row>
    <row r="157" spans="1:65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</row>
    <row r="158" spans="1:65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</row>
    <row r="159" spans="1:65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</row>
    <row r="160" spans="1:65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</row>
    <row r="161" spans="1:65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</row>
    <row r="162" spans="1:65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</row>
    <row r="163" spans="1:65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</row>
    <row r="164" spans="1:65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</row>
    <row r="165" spans="1:65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</row>
    <row r="166" spans="1:65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</row>
    <row r="167" spans="1:65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</row>
    <row r="168" spans="1:65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</row>
    <row r="169" spans="1:65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</row>
    <row r="170" spans="1:65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</row>
    <row r="171" spans="1:65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</row>
    <row r="172" spans="1:65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</row>
    <row r="173" spans="1:65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</row>
    <row r="174" spans="1:65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</row>
    <row r="175" spans="1:65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</row>
    <row r="176" spans="1:65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</row>
    <row r="177" spans="1:65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</row>
    <row r="178" spans="1:65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</row>
    <row r="179" spans="1:65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</row>
    <row r="180" spans="1:65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</row>
    <row r="181" spans="1:65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</row>
    <row r="182" spans="1:65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</row>
    <row r="183" spans="1:65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</row>
    <row r="184" spans="1:65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</row>
    <row r="185" spans="1:65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</row>
    <row r="186" spans="1:65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</row>
    <row r="187" spans="1:65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</row>
    <row r="188" spans="1:65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</row>
    <row r="189" spans="1:65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</row>
    <row r="190" spans="1:65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</row>
    <row r="191" spans="1:65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</row>
    <row r="192" spans="1:65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</row>
    <row r="193" spans="1:65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</row>
    <row r="194" spans="1:65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</row>
    <row r="195" spans="1:65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</row>
    <row r="196" spans="1:65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</row>
    <row r="197" spans="1:65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</row>
    <row r="198" spans="1:65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</row>
    <row r="199" spans="1:65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</row>
    <row r="200" spans="1:65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</row>
    <row r="201" spans="1:65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</row>
    <row r="202" spans="1:65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</row>
    <row r="203" spans="1:65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</row>
    <row r="204" spans="1:65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</row>
    <row r="205" spans="1:65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Fisher - 1</vt:lpstr>
      <vt:lpstr>Fisher - 2</vt:lpstr>
      <vt:lpstr>Fisher - 3</vt:lpstr>
      <vt:lpstr>Fisher - 4</vt:lpstr>
      <vt:lpstr>Fisher - 5</vt:lpstr>
      <vt:lpstr>Fisher - 6</vt:lpstr>
      <vt:lpstr>Fisher - 7</vt:lpstr>
      <vt:lpstr>Fisher - 8</vt:lpstr>
      <vt:lpstr>Fisher - 9</vt:lpstr>
      <vt:lpstr>Fisher - 10</vt:lpstr>
      <vt:lpstr>Fisher - 11</vt:lpstr>
      <vt:lpstr>Fisher - 12</vt:lpstr>
      <vt:lpstr>Fisher - 13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2021-04-06T00:00:43Z</dcterms:created>
  <dcterms:modified xsi:type="dcterms:W3CDTF">2022-08-10T13:02:09Z</dcterms:modified>
</cp:coreProperties>
</file>