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stephenroll/Rising Fellow Dropbox/Rising Fellow/_Products/Exam 7/_Problem Pack/Exam 7 Problem Bank - Original &amp; Past CAS/"/>
    </mc:Choice>
  </mc:AlternateContent>
  <xr:revisionPtr revIDLastSave="0" documentId="13_ncr:1_{48655962-9B9F-6240-91D2-F814D3F0BC93}" xr6:coauthVersionLast="47" xr6:coauthVersionMax="47" xr10:uidLastSave="{00000000-0000-0000-0000-000000000000}"/>
  <bookViews>
    <workbookView xWindow="200" yWindow="500" windowWidth="20840" windowHeight="21100" xr2:uid="{B2F629C4-F532-0048-94B5-6129BC4B4200}"/>
  </bookViews>
  <sheets>
    <sheet name="Overview" sheetId="11" r:id="rId1"/>
    <sheet name="Q #1" sheetId="1" r:id="rId2"/>
    <sheet name="Q #2" sheetId="2" r:id="rId3"/>
    <sheet name="Q #3" sheetId="3" r:id="rId4"/>
    <sheet name="Q #4" sheetId="4" r:id="rId5"/>
    <sheet name="Q #5" sheetId="5" r:id="rId6"/>
    <sheet name="Q #6" sheetId="6" r:id="rId7"/>
    <sheet name="Q #7" sheetId="7" r:id="rId8"/>
    <sheet name="Q #8" sheetId="8" r:id="rId9"/>
    <sheet name="Q #9" sheetId="9" r:id="rId10"/>
    <sheet name="Q #10" sheetId="10" r:id="rId11"/>
    <sheet name="Q #11" sheetId="12" r:id="rId12"/>
    <sheet name="Q #12" sheetId="13" r:id="rId13"/>
    <sheet name="Q #13" sheetId="14" r:id="rId14"/>
    <sheet name="Q #14" sheetId="15" r:id="rId15"/>
    <sheet name="Q #15" sheetId="16" r:id="rId16"/>
    <sheet name="2011 #2" sheetId="18" r:id="rId17"/>
    <sheet name="2012 #2" sheetId="19" r:id="rId18"/>
    <sheet name="2013 #3" sheetId="20" r:id="rId19"/>
    <sheet name="2014 #3" sheetId="21" r:id="rId20"/>
    <sheet name="2014 #5" sheetId="22" r:id="rId21"/>
    <sheet name="2015 #2" sheetId="23" r:id="rId22"/>
    <sheet name="2016 #3" sheetId="24" r:id="rId23"/>
    <sheet name="2016 #4" sheetId="25" r:id="rId24"/>
    <sheet name="2017 #4" sheetId="26" r:id="rId25"/>
    <sheet name="2017 #5" sheetId="27" r:id="rId26"/>
    <sheet name="2018 #6" sheetId="28" r:id="rId27"/>
    <sheet name="2019 #5" sheetId="29" r:id="rId28"/>
    <sheet name="2019 #6" sheetId="30" r:id="rId29"/>
    <sheet name="2019 #8" sheetId="31" r:id="rId30"/>
    <sheet name="Essay Problems" sheetId="17" r:id="rId3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 i="30" l="1"/>
  <c r="N6" i="30"/>
  <c r="P6" i="30"/>
  <c r="Q6" i="30"/>
  <c r="M7" i="30"/>
  <c r="N7" i="30"/>
  <c r="M10" i="30" s="1"/>
  <c r="P7" i="30"/>
  <c r="Q7" i="30"/>
  <c r="M8" i="30"/>
  <c r="N8" i="30"/>
  <c r="P8" i="30"/>
  <c r="Q8" i="30"/>
  <c r="M21" i="30"/>
  <c r="M22" i="30" s="1"/>
  <c r="M4" i="29"/>
  <c r="M5" i="29"/>
  <c r="M6" i="29"/>
  <c r="M8" i="29"/>
  <c r="M9" i="29"/>
  <c r="L8" i="28"/>
  <c r="M8" i="28"/>
  <c r="N8" i="28"/>
  <c r="O8" i="28"/>
  <c r="P8" i="28"/>
  <c r="Q8" i="28"/>
  <c r="M35" i="28" s="1"/>
  <c r="M9" i="28"/>
  <c r="Q9" i="28" s="1"/>
  <c r="N9" i="28"/>
  <c r="O9" i="28"/>
  <c r="P9" i="28"/>
  <c r="M10" i="28"/>
  <c r="Q10" i="28" s="1"/>
  <c r="M37" i="28" s="1"/>
  <c r="N10" i="28"/>
  <c r="O10" i="28"/>
  <c r="P10" i="28"/>
  <c r="M11" i="28"/>
  <c r="Q11" i="28" s="1"/>
  <c r="N11" i="28"/>
  <c r="N12" i="28" s="1"/>
  <c r="P11" i="28"/>
  <c r="M26" i="28"/>
  <c r="M7" i="27"/>
  <c r="N7" i="27"/>
  <c r="N10" i="27" s="1"/>
  <c r="P7" i="27"/>
  <c r="N31" i="27" s="1"/>
  <c r="Q7" i="27"/>
  <c r="M8" i="27"/>
  <c r="Q8" i="27" s="1"/>
  <c r="N8" i="27"/>
  <c r="P8" i="27"/>
  <c r="N32" i="27" s="1"/>
  <c r="O32" i="27" s="1"/>
  <c r="M9" i="27"/>
  <c r="N9" i="27"/>
  <c r="P9" i="27"/>
  <c r="N33" i="27" s="1"/>
  <c r="O33" i="27" s="1"/>
  <c r="Q9" i="27"/>
  <c r="M10" i="27"/>
  <c r="M17" i="27"/>
  <c r="M31" i="27"/>
  <c r="O31" i="27" s="1"/>
  <c r="M32" i="27"/>
  <c r="M33" i="27"/>
  <c r="M8" i="26"/>
  <c r="O8" i="26"/>
  <c r="P8" i="26" s="1"/>
  <c r="Q8" i="26" s="1"/>
  <c r="M9" i="26"/>
  <c r="O9" i="26"/>
  <c r="P9" i="26" s="1"/>
  <c r="Q9" i="26" s="1"/>
  <c r="M10" i="26"/>
  <c r="O10" i="26"/>
  <c r="P10" i="26" s="1"/>
  <c r="Q10" i="26" s="1"/>
  <c r="M11" i="26"/>
  <c r="O11" i="26"/>
  <c r="P11" i="26"/>
  <c r="Q11" i="26" s="1"/>
  <c r="M12" i="26"/>
  <c r="O12" i="26"/>
  <c r="P12" i="26" s="1"/>
  <c r="Q12" i="26" s="1"/>
  <c r="M6" i="25"/>
  <c r="M8" i="25"/>
  <c r="N17" i="25"/>
  <c r="O17" i="25"/>
  <c r="P17" i="25"/>
  <c r="Q17" i="25"/>
  <c r="R17" i="25"/>
  <c r="N18" i="25"/>
  <c r="O18" i="25"/>
  <c r="P18" i="25"/>
  <c r="R18" i="25" s="1"/>
  <c r="Q18" i="25"/>
  <c r="N19" i="25"/>
  <c r="O19" i="25"/>
  <c r="P19" i="25"/>
  <c r="Q19" i="25"/>
  <c r="R19" i="25"/>
  <c r="N20" i="25"/>
  <c r="P20" i="25" s="1"/>
  <c r="R20" i="25" s="1"/>
  <c r="O20" i="25"/>
  <c r="Q20" i="25"/>
  <c r="M7" i="24"/>
  <c r="N7" i="24"/>
  <c r="N11" i="24" s="1"/>
  <c r="P7" i="24"/>
  <c r="M8" i="24"/>
  <c r="N8" i="24"/>
  <c r="P8" i="24"/>
  <c r="Q8" i="24" s="1"/>
  <c r="M9" i="24"/>
  <c r="N9" i="24"/>
  <c r="P9" i="24"/>
  <c r="N28" i="24" s="1"/>
  <c r="Q9" i="24"/>
  <c r="M10" i="24"/>
  <c r="Q10" i="24" s="1"/>
  <c r="N10" i="24"/>
  <c r="P10" i="24"/>
  <c r="N29" i="24" s="1"/>
  <c r="O29" i="24" s="1"/>
  <c r="M19" i="24"/>
  <c r="M26" i="24"/>
  <c r="N26" i="24"/>
  <c r="O26" i="24"/>
  <c r="M27" i="24"/>
  <c r="N27" i="24"/>
  <c r="O27" i="24"/>
  <c r="M28" i="24"/>
  <c r="M29" i="24"/>
  <c r="M34" i="24"/>
  <c r="M5" i="23"/>
  <c r="M6" i="23"/>
  <c r="L10" i="23"/>
  <c r="M10" i="23"/>
  <c r="O10" i="23"/>
  <c r="P10" i="23"/>
  <c r="Q10" i="23"/>
  <c r="Q14" i="23" s="1"/>
  <c r="M16" i="23" s="1"/>
  <c r="M18" i="23" s="1"/>
  <c r="M20" i="23" s="1"/>
  <c r="L11" i="23"/>
  <c r="M11" i="23"/>
  <c r="O11" i="23"/>
  <c r="P11" i="23"/>
  <c r="Q11" i="23"/>
  <c r="L12" i="23"/>
  <c r="M12" i="23"/>
  <c r="Q12" i="23" s="1"/>
  <c r="O12" i="23"/>
  <c r="P12" i="23"/>
  <c r="E13" i="23"/>
  <c r="L13" i="23"/>
  <c r="M13" i="23"/>
  <c r="O13" i="23"/>
  <c r="P13" i="23"/>
  <c r="Q13" i="23"/>
  <c r="M14" i="23"/>
  <c r="M5" i="22"/>
  <c r="M7" i="22"/>
  <c r="M9" i="22"/>
  <c r="M11" i="22"/>
  <c r="M17" i="22"/>
  <c r="M43" i="22" s="1"/>
  <c r="M21" i="22"/>
  <c r="M23" i="22"/>
  <c r="M29" i="22"/>
  <c r="M31" i="22" s="1"/>
  <c r="M9" i="21"/>
  <c r="N9" i="21"/>
  <c r="O9" i="21"/>
  <c r="M10" i="21"/>
  <c r="N10" i="21"/>
  <c r="M11" i="21"/>
  <c r="M13" i="21"/>
  <c r="M14" i="21"/>
  <c r="M16" i="21" s="1"/>
  <c r="N6" i="20"/>
  <c r="O6" i="20"/>
  <c r="P6" i="20"/>
  <c r="Q6" i="20"/>
  <c r="R6" i="20"/>
  <c r="N7" i="20"/>
  <c r="Q7" i="20" s="1"/>
  <c r="O7" i="20"/>
  <c r="N17" i="20" s="1"/>
  <c r="P7" i="20"/>
  <c r="N8" i="20"/>
  <c r="O8" i="20"/>
  <c r="M17" i="20" s="1"/>
  <c r="N9" i="20"/>
  <c r="P14" i="20"/>
  <c r="M22" i="20"/>
  <c r="N22" i="20"/>
  <c r="O22" i="20"/>
  <c r="M23" i="20"/>
  <c r="N23" i="20"/>
  <c r="M24" i="20"/>
  <c r="M6" i="19"/>
  <c r="N6" i="19"/>
  <c r="N10" i="19" s="1"/>
  <c r="O6" i="19"/>
  <c r="P6" i="19"/>
  <c r="Q6" i="19"/>
  <c r="M7" i="19"/>
  <c r="P7" i="19" s="1"/>
  <c r="N7" i="19"/>
  <c r="O7" i="19"/>
  <c r="Q7" i="19"/>
  <c r="M8" i="19"/>
  <c r="N8" i="19"/>
  <c r="O8" i="19"/>
  <c r="Q8" i="19" s="1"/>
  <c r="P8" i="19"/>
  <c r="M9" i="19"/>
  <c r="N9" i="19"/>
  <c r="O9" i="19"/>
  <c r="P9" i="19"/>
  <c r="Q9" i="19"/>
  <c r="L7" i="18"/>
  <c r="M7" i="18"/>
  <c r="N7" i="18"/>
  <c r="N10" i="18" s="1"/>
  <c r="O7" i="18"/>
  <c r="P7" i="18"/>
  <c r="L8" i="18"/>
  <c r="M8" i="18"/>
  <c r="P8" i="18" s="1"/>
  <c r="N8" i="18"/>
  <c r="O8" i="18"/>
  <c r="L9" i="18"/>
  <c r="M9" i="18"/>
  <c r="P9" i="18" s="1"/>
  <c r="N9" i="18"/>
  <c r="O9" i="18"/>
  <c r="M15" i="18"/>
  <c r="M16" i="18"/>
  <c r="M24" i="30" l="1"/>
  <c r="M26" i="30" s="1"/>
  <c r="N12" i="30"/>
  <c r="N14" i="30" s="1"/>
  <c r="M36" i="28"/>
  <c r="Q12" i="28"/>
  <c r="M16" i="28" s="1"/>
  <c r="M38" i="28"/>
  <c r="M12" i="28"/>
  <c r="Q10" i="27"/>
  <c r="M12" i="27"/>
  <c r="O28" i="24"/>
  <c r="O30" i="24"/>
  <c r="M33" i="24" s="1"/>
  <c r="M36" i="24" s="1"/>
  <c r="Q7" i="24"/>
  <c r="Q11" i="24" s="1"/>
  <c r="M13" i="24" s="1"/>
  <c r="P15" i="20"/>
  <c r="R7" i="20"/>
  <c r="N14" i="20"/>
  <c r="N28" i="20" s="1"/>
  <c r="M14" i="20"/>
  <c r="M28" i="20" s="1"/>
  <c r="O17" i="20"/>
  <c r="P8" i="20"/>
  <c r="Q8" i="20" s="1"/>
  <c r="O14" i="20"/>
  <c r="P10" i="19"/>
  <c r="M12" i="19"/>
  <c r="R7" i="19"/>
  <c r="P10" i="18"/>
  <c r="M12" i="18"/>
  <c r="Q7" i="18" s="1"/>
  <c r="Q8" i="18"/>
  <c r="Q9" i="18"/>
  <c r="R11" i="28" l="1"/>
  <c r="S11" i="28" s="1"/>
  <c r="R9" i="28"/>
  <c r="S9" i="28" s="1"/>
  <c r="R8" i="28"/>
  <c r="R10" i="28"/>
  <c r="S10" i="28" s="1"/>
  <c r="R8" i="27"/>
  <c r="P32" i="27" s="1"/>
  <c r="Q32" i="27" s="1"/>
  <c r="R7" i="27"/>
  <c r="R9" i="27"/>
  <c r="P33" i="27" s="1"/>
  <c r="Q33" i="27" s="1"/>
  <c r="R8" i="24"/>
  <c r="R9" i="24"/>
  <c r="R10" i="24"/>
  <c r="R7" i="24"/>
  <c r="P16" i="20"/>
  <c r="M16" i="20" s="1"/>
  <c r="R8" i="20"/>
  <c r="R9" i="20" s="1"/>
  <c r="M15" i="20"/>
  <c r="N15" i="20"/>
  <c r="O28" i="20"/>
  <c r="R6" i="19"/>
  <c r="R9" i="19"/>
  <c r="R8" i="19"/>
  <c r="Q10" i="18"/>
  <c r="S8" i="28" l="1"/>
  <c r="R12" i="28"/>
  <c r="R10" i="27"/>
  <c r="M16" i="27" s="1"/>
  <c r="M19" i="27" s="1"/>
  <c r="P31" i="27"/>
  <c r="Q31" i="27" s="1"/>
  <c r="N35" i="27" s="1"/>
  <c r="R11" i="24"/>
  <c r="M18" i="24" s="1"/>
  <c r="M21" i="24" s="1"/>
  <c r="M29" i="20"/>
  <c r="M32" i="20" s="1"/>
  <c r="N29" i="20"/>
  <c r="M30" i="20"/>
  <c r="R10" i="19"/>
  <c r="M14" i="19" s="1"/>
  <c r="M19" i="19" s="1"/>
  <c r="M22" i="18"/>
  <c r="M23" i="18" s="1"/>
  <c r="M25" i="18" s="1"/>
  <c r="M18" i="18"/>
  <c r="M34" i="20" l="1"/>
  <c r="M41" i="20"/>
  <c r="O41" i="20"/>
  <c r="N41" i="20"/>
  <c r="M42" i="20"/>
  <c r="N42" i="20"/>
  <c r="M43" i="20"/>
  <c r="M21" i="19"/>
  <c r="M25" i="19"/>
  <c r="M27" i="19" s="1"/>
  <c r="N9" i="16" l="1"/>
  <c r="P9" i="16"/>
  <c r="Q9" i="16"/>
  <c r="R9" i="16"/>
  <c r="S9" i="16"/>
  <c r="T9" i="16"/>
  <c r="U9" i="16"/>
  <c r="V9" i="16"/>
  <c r="N13" i="16" s="1"/>
  <c r="N10" i="16"/>
  <c r="P10" i="16"/>
  <c r="Q10" i="16"/>
  <c r="R10" i="16"/>
  <c r="S10" i="16"/>
  <c r="T10" i="16"/>
  <c r="U10" i="16"/>
  <c r="V10" i="16"/>
  <c r="N11" i="16"/>
  <c r="P11" i="16"/>
  <c r="Q11" i="16"/>
  <c r="R11" i="16"/>
  <c r="S11" i="16"/>
  <c r="T11" i="16"/>
  <c r="U11" i="16"/>
  <c r="V11" i="16" s="1"/>
  <c r="N8" i="15"/>
  <c r="O8" i="15"/>
  <c r="P8" i="15"/>
  <c r="N9" i="15"/>
  <c r="O9" i="15"/>
  <c r="N10" i="15"/>
  <c r="N17" i="15"/>
  <c r="N18" i="15"/>
  <c r="N20" i="15" s="1"/>
  <c r="N21" i="15" s="1"/>
  <c r="N22" i="15" s="1"/>
  <c r="N23" i="15" s="1"/>
  <c r="N30" i="15"/>
  <c r="N39" i="15" s="1"/>
  <c r="N40" i="15" s="1"/>
  <c r="N42" i="15" s="1"/>
  <c r="N43" i="15" s="1"/>
  <c r="N44" i="15" s="1"/>
  <c r="N45" i="15" s="1"/>
  <c r="O30" i="15"/>
  <c r="P30" i="15"/>
  <c r="N31" i="15"/>
  <c r="O31" i="15"/>
  <c r="N32" i="15"/>
  <c r="N8" i="14"/>
  <c r="O8" i="14"/>
  <c r="Q8" i="14"/>
  <c r="R8" i="14"/>
  <c r="S8" i="14"/>
  <c r="N9" i="14"/>
  <c r="O9" i="14"/>
  <c r="Q9" i="14"/>
  <c r="R9" i="14" s="1"/>
  <c r="S9" i="14" s="1"/>
  <c r="N12" i="14" s="1"/>
  <c r="N10" i="14"/>
  <c r="O10" i="14"/>
  <c r="Q10" i="14"/>
  <c r="R10" i="14"/>
  <c r="S10" i="14"/>
  <c r="N26" i="14"/>
  <c r="O26" i="14"/>
  <c r="N27" i="14"/>
  <c r="O27" i="14"/>
  <c r="N28" i="14"/>
  <c r="O28" i="14"/>
  <c r="N35" i="14"/>
  <c r="O35" i="14"/>
  <c r="N36" i="14"/>
  <c r="O36" i="14" s="1"/>
  <c r="N37" i="14"/>
  <c r="O37" i="14"/>
  <c r="N38" i="14"/>
  <c r="O38" i="14"/>
  <c r="N45" i="14"/>
  <c r="O45" i="14"/>
  <c r="N46" i="14"/>
  <c r="O46" i="14"/>
  <c r="N47" i="14"/>
  <c r="O47" i="14"/>
  <c r="N48" i="14"/>
  <c r="O48" i="14"/>
  <c r="N49" i="14"/>
  <c r="O49" i="14"/>
  <c r="N58" i="14"/>
  <c r="O58" i="14"/>
  <c r="N59" i="14"/>
  <c r="O59" i="14"/>
  <c r="N60" i="14"/>
  <c r="O60" i="14"/>
  <c r="N61" i="14"/>
  <c r="O61" i="14"/>
  <c r="N8" i="13"/>
  <c r="O8" i="13"/>
  <c r="Q8" i="13"/>
  <c r="R8" i="13"/>
  <c r="S8" i="13"/>
  <c r="N9" i="13"/>
  <c r="N18" i="13" s="1"/>
  <c r="O9" i="13"/>
  <c r="O18" i="13" s="1"/>
  <c r="Q9" i="13"/>
  <c r="R9" i="13" s="1"/>
  <c r="S9" i="13" s="1"/>
  <c r="N12" i="13" s="1"/>
  <c r="N10" i="13"/>
  <c r="O10" i="13"/>
  <c r="O19" i="13" s="1"/>
  <c r="Q10" i="13"/>
  <c r="R10" i="13"/>
  <c r="S10" i="13"/>
  <c r="M17" i="13"/>
  <c r="N17" i="13"/>
  <c r="O17" i="13"/>
  <c r="P17" i="13"/>
  <c r="Q17" i="13"/>
  <c r="R17" i="13"/>
  <c r="M18" i="13"/>
  <c r="P18" i="13"/>
  <c r="Q18" i="13"/>
  <c r="R18" i="13"/>
  <c r="M19" i="13"/>
  <c r="N19" i="13"/>
  <c r="P19" i="13"/>
  <c r="Q19" i="13"/>
  <c r="R19" i="13"/>
  <c r="N31" i="13"/>
  <c r="P8" i="12"/>
  <c r="Q8" i="12" s="1"/>
  <c r="M9" i="12"/>
  <c r="M20" i="12" s="1"/>
  <c r="M30" i="12" s="1"/>
  <c r="N9" i="12"/>
  <c r="P9" i="12"/>
  <c r="Q9" i="12" s="1"/>
  <c r="M10" i="12"/>
  <c r="N10" i="12"/>
  <c r="P10" i="12"/>
  <c r="Q21" i="12" s="1"/>
  <c r="R21" i="12" s="1"/>
  <c r="S21" i="12" s="1"/>
  <c r="Q10" i="12"/>
  <c r="M11" i="12"/>
  <c r="N11" i="12"/>
  <c r="P11" i="12"/>
  <c r="Q22" i="12" s="1"/>
  <c r="R22" i="12" s="1"/>
  <c r="S22" i="12" s="1"/>
  <c r="Q11" i="12"/>
  <c r="N20" i="12"/>
  <c r="P20" i="12"/>
  <c r="M21" i="12"/>
  <c r="M31" i="12" s="1"/>
  <c r="N21" i="12"/>
  <c r="N31" i="12" s="1"/>
  <c r="P21" i="12"/>
  <c r="M22" i="12"/>
  <c r="M32" i="12" s="1"/>
  <c r="N22" i="12"/>
  <c r="N32" i="12" s="1"/>
  <c r="O22" i="12"/>
  <c r="O32" i="12" s="1"/>
  <c r="P22" i="12"/>
  <c r="Q29" i="12"/>
  <c r="R29" i="12"/>
  <c r="S30" i="12" s="1"/>
  <c r="N30" i="12"/>
  <c r="P30" i="12"/>
  <c r="Q30" i="12"/>
  <c r="R30" i="12"/>
  <c r="P31" i="12"/>
  <c r="Q31" i="12"/>
  <c r="R31" i="12"/>
  <c r="P32" i="12"/>
  <c r="Q32" i="12"/>
  <c r="R32" i="12"/>
  <c r="N17" i="14" l="1"/>
  <c r="N19" i="14"/>
  <c r="N18" i="14"/>
  <c r="N25" i="13"/>
  <c r="N26" i="13" s="1"/>
  <c r="S17" i="13"/>
  <c r="S18" i="13"/>
  <c r="S19" i="13"/>
  <c r="R11" i="12"/>
  <c r="S11" i="12" s="1"/>
  <c r="R10" i="12"/>
  <c r="S10" i="12" s="1"/>
  <c r="R9" i="12"/>
  <c r="S9" i="12" s="1"/>
  <c r="N13" i="12" s="1"/>
  <c r="S32" i="12"/>
  <c r="O20" i="12"/>
  <c r="O21" i="12"/>
  <c r="O31" i="12" s="1"/>
  <c r="S31" i="12"/>
  <c r="Q20" i="12"/>
  <c r="R20" i="12" s="1"/>
  <c r="S20" i="12" s="1"/>
  <c r="P60" i="14" l="1"/>
  <c r="P36" i="14"/>
  <c r="P58" i="14"/>
  <c r="P37" i="14"/>
  <c r="P59" i="14"/>
  <c r="P35" i="14"/>
  <c r="P40" i="14" s="1"/>
  <c r="P47" i="14"/>
  <c r="P45" i="14"/>
  <c r="P51" i="14" s="1"/>
  <c r="P48" i="14"/>
  <c r="P46" i="14"/>
  <c r="P27" i="14"/>
  <c r="P26" i="14"/>
  <c r="P30" i="14" s="1"/>
  <c r="N21" i="13"/>
  <c r="N27" i="13"/>
  <c r="N32" i="13"/>
  <c r="N33" i="13" s="1"/>
  <c r="N24" i="12"/>
  <c r="T30" i="12" s="1"/>
  <c r="O30" i="12"/>
  <c r="T31" i="12"/>
  <c r="O53" i="14" l="1"/>
  <c r="P63" i="14"/>
  <c r="N65" i="14" s="1"/>
  <c r="N34" i="12"/>
  <c r="T32" i="12"/>
  <c r="O12" i="6" l="1"/>
  <c r="O11" i="6"/>
  <c r="N8" i="4"/>
  <c r="N39" i="2"/>
  <c r="N31" i="10" l="1"/>
  <c r="P40" i="10" s="1"/>
  <c r="N30" i="10"/>
  <c r="O30" i="10" s="1"/>
  <c r="P39" i="10" s="1"/>
  <c r="N29" i="10"/>
  <c r="P35" i="10" s="1"/>
  <c r="O40" i="10"/>
  <c r="O39" i="10"/>
  <c r="O38" i="10"/>
  <c r="O37" i="10"/>
  <c r="O36" i="10"/>
  <c r="O35" i="10"/>
  <c r="Q19" i="10"/>
  <c r="Q18" i="10"/>
  <c r="Q17" i="10"/>
  <c r="O9" i="10"/>
  <c r="N21" i="10" s="1"/>
  <c r="O8" i="10"/>
  <c r="O7" i="10"/>
  <c r="N8" i="9"/>
  <c r="N9" i="9" s="1"/>
  <c r="N4" i="9"/>
  <c r="N5" i="9" s="1"/>
  <c r="N19" i="10" l="1"/>
  <c r="Q40" i="10" s="1"/>
  <c r="O29" i="10"/>
  <c r="P36" i="10" s="1"/>
  <c r="P21" i="10"/>
  <c r="P17" i="10" s="1"/>
  <c r="Q37" i="10" s="1"/>
  <c r="P29" i="10"/>
  <c r="P37" i="10" s="1"/>
  <c r="R40" i="10"/>
  <c r="P38" i="10"/>
  <c r="N18" i="10"/>
  <c r="Q38" i="10" s="1"/>
  <c r="R38" i="10" s="1"/>
  <c r="O21" i="10"/>
  <c r="O18" i="10" s="1"/>
  <c r="Q39" i="10" s="1"/>
  <c r="R39" i="10" s="1"/>
  <c r="N17" i="10"/>
  <c r="Q35" i="10" s="1"/>
  <c r="R35" i="10" s="1"/>
  <c r="R37" i="10" l="1"/>
  <c r="O17" i="10"/>
  <c r="Q36" i="10" s="1"/>
  <c r="R36" i="10" s="1"/>
  <c r="N24" i="8" l="1"/>
  <c r="N31" i="8" s="1"/>
  <c r="P11" i="8"/>
  <c r="O11" i="8"/>
  <c r="N11" i="8"/>
  <c r="Q8" i="8"/>
  <c r="Q9" i="8"/>
  <c r="Q7" i="8"/>
  <c r="N21" i="8"/>
  <c r="M17" i="8"/>
  <c r="M16" i="8"/>
  <c r="M15" i="8"/>
  <c r="M9" i="8"/>
  <c r="M8" i="8"/>
  <c r="M7" i="8"/>
  <c r="N7" i="8" l="1"/>
  <c r="N15" i="8" s="1"/>
  <c r="N9" i="8"/>
  <c r="N17" i="8" s="1"/>
  <c r="P7" i="8"/>
  <c r="P15" i="8" s="1"/>
  <c r="O8" i="8"/>
  <c r="O16" i="8" s="1"/>
  <c r="N8" i="8"/>
  <c r="N16" i="8" s="1"/>
  <c r="O7" i="8"/>
  <c r="O15" i="8" s="1"/>
  <c r="O19" i="7"/>
  <c r="N14" i="7"/>
  <c r="P9" i="7"/>
  <c r="P8" i="7"/>
  <c r="P7" i="7"/>
  <c r="O9" i="7"/>
  <c r="R9" i="7" s="1"/>
  <c r="O7" i="7"/>
  <c r="R7" i="7" s="1"/>
  <c r="O8" i="7"/>
  <c r="R8" i="7" s="1"/>
  <c r="M9" i="7"/>
  <c r="M8" i="7"/>
  <c r="M7" i="7"/>
  <c r="N22" i="8" l="1"/>
  <c r="N26" i="8" s="1"/>
  <c r="N28" i="8" s="1"/>
  <c r="Q7" i="7"/>
  <c r="Q9" i="7"/>
  <c r="Q8" i="7"/>
  <c r="Q8" i="6"/>
  <c r="Q7" i="6"/>
  <c r="Q6" i="6"/>
  <c r="P3" i="6"/>
  <c r="O8" i="6"/>
  <c r="O7" i="6"/>
  <c r="O6" i="6"/>
  <c r="N7" i="6"/>
  <c r="N6" i="6" s="1"/>
  <c r="M8" i="6"/>
  <c r="M7" i="6"/>
  <c r="M6" i="6"/>
  <c r="O19" i="5"/>
  <c r="R7" i="5"/>
  <c r="R9" i="5"/>
  <c r="O9" i="5"/>
  <c r="P9" i="5" s="1"/>
  <c r="M9" i="5"/>
  <c r="R8" i="5"/>
  <c r="N8" i="5"/>
  <c r="O8" i="5" s="1"/>
  <c r="P8" i="5" s="1"/>
  <c r="M8" i="5"/>
  <c r="M7" i="5"/>
  <c r="S8" i="5" l="1"/>
  <c r="P8" i="6"/>
  <c r="R10" i="5"/>
  <c r="Q9" i="5"/>
  <c r="S9" i="5"/>
  <c r="Q10" i="7"/>
  <c r="P7" i="6"/>
  <c r="R7" i="6" s="1"/>
  <c r="S7" i="6" s="1"/>
  <c r="P6" i="6"/>
  <c r="R6" i="6" s="1"/>
  <c r="S6" i="6" s="1"/>
  <c r="Q9" i="6"/>
  <c r="R8" i="6"/>
  <c r="S8" i="6" s="1"/>
  <c r="Q8" i="5"/>
  <c r="T8" i="5" s="1"/>
  <c r="N7" i="5"/>
  <c r="O7" i="5" s="1"/>
  <c r="T9" i="5" l="1"/>
  <c r="S12" i="7"/>
  <c r="S7" i="7" s="1"/>
  <c r="S9" i="6"/>
  <c r="O14" i="6" s="1"/>
  <c r="N16" i="6" s="1"/>
  <c r="R9" i="6"/>
  <c r="P7" i="5"/>
  <c r="S7" i="5" s="1"/>
  <c r="S10" i="5" s="1"/>
  <c r="Q7" i="5"/>
  <c r="N4" i="4"/>
  <c r="N6" i="4" s="1"/>
  <c r="N10" i="4" s="1"/>
  <c r="N12" i="4" s="1"/>
  <c r="V16" i="3"/>
  <c r="U17" i="3"/>
  <c r="U16" i="3"/>
  <c r="R9" i="3"/>
  <c r="R8" i="3"/>
  <c r="R7" i="3"/>
  <c r="M28" i="3"/>
  <c r="M27" i="3"/>
  <c r="M26" i="3"/>
  <c r="T18" i="3"/>
  <c r="S18" i="3"/>
  <c r="M18" i="3"/>
  <c r="T17" i="3"/>
  <c r="S17" i="3"/>
  <c r="M17" i="3"/>
  <c r="T16" i="3"/>
  <c r="S16" i="3"/>
  <c r="M16" i="3"/>
  <c r="O9" i="3"/>
  <c r="P9" i="3" s="1"/>
  <c r="M9" i="3"/>
  <c r="N8" i="3"/>
  <c r="O8" i="3" s="1"/>
  <c r="P8" i="3" s="1"/>
  <c r="M8" i="3"/>
  <c r="M7" i="3"/>
  <c r="S8" i="7" l="1"/>
  <c r="T8" i="7" s="1"/>
  <c r="T7" i="5"/>
  <c r="T10" i="5" s="1"/>
  <c r="O16" i="5" s="1"/>
  <c r="O18" i="5" s="1"/>
  <c r="O21" i="5" s="1"/>
  <c r="S9" i="7"/>
  <c r="T9" i="7" s="1"/>
  <c r="T7" i="7"/>
  <c r="R10" i="3"/>
  <c r="N7" i="3"/>
  <c r="O7" i="3" s="1"/>
  <c r="P7" i="3" s="1"/>
  <c r="Q7" i="3" s="1"/>
  <c r="S7" i="3" s="1"/>
  <c r="N20" i="3"/>
  <c r="Q9" i="3"/>
  <c r="S9" i="3" s="1"/>
  <c r="Q8" i="3"/>
  <c r="S8" i="3" s="1"/>
  <c r="O20" i="3"/>
  <c r="M33" i="2"/>
  <c r="O4" i="2"/>
  <c r="O5" i="2" s="1"/>
  <c r="P9" i="2"/>
  <c r="P8" i="2"/>
  <c r="P7" i="2"/>
  <c r="T19" i="2"/>
  <c r="U18" i="2"/>
  <c r="T18" i="2"/>
  <c r="L30" i="2"/>
  <c r="L29" i="2"/>
  <c r="L28" i="2"/>
  <c r="S20" i="2"/>
  <c r="R20" i="2"/>
  <c r="L20" i="2"/>
  <c r="S19" i="2"/>
  <c r="R19" i="2"/>
  <c r="L19" i="2"/>
  <c r="S18" i="2"/>
  <c r="R18" i="2"/>
  <c r="L18" i="2"/>
  <c r="N9" i="2"/>
  <c r="O9" i="2" s="1"/>
  <c r="M22" i="2" s="1"/>
  <c r="L9" i="2"/>
  <c r="M8" i="2"/>
  <c r="N8" i="2" s="1"/>
  <c r="O8" i="2" s="1"/>
  <c r="L8" i="2"/>
  <c r="L7" i="2"/>
  <c r="P20" i="3" l="1"/>
  <c r="T10" i="7"/>
  <c r="Q17" i="3"/>
  <c r="N17" i="3" s="1"/>
  <c r="Q18" i="3"/>
  <c r="N18" i="3" s="1"/>
  <c r="N28" i="3" s="1"/>
  <c r="S29" i="3" s="1"/>
  <c r="S10" i="3"/>
  <c r="Q16" i="3"/>
  <c r="M7" i="2"/>
  <c r="N7" i="2" s="1"/>
  <c r="O7" i="2" s="1"/>
  <c r="O22" i="2" s="1"/>
  <c r="R9" i="2"/>
  <c r="R8" i="2"/>
  <c r="Q8" i="2"/>
  <c r="Q9" i="2"/>
  <c r="N22" i="2"/>
  <c r="N35" i="1"/>
  <c r="M29" i="1"/>
  <c r="Q7" i="1"/>
  <c r="Q6" i="1"/>
  <c r="Q5" i="1"/>
  <c r="L25" i="1"/>
  <c r="L26" i="1"/>
  <c r="L24" i="1"/>
  <c r="L15" i="1"/>
  <c r="L16" i="1"/>
  <c r="L14" i="1"/>
  <c r="L6" i="1"/>
  <c r="L7" i="1"/>
  <c r="L5" i="1"/>
  <c r="R14" i="1"/>
  <c r="R15" i="1"/>
  <c r="R16" i="1"/>
  <c r="N7" i="1"/>
  <c r="O7" i="1" s="1"/>
  <c r="P7" i="1" s="1"/>
  <c r="M6" i="1"/>
  <c r="M5" i="1" s="1"/>
  <c r="N5" i="1" s="1"/>
  <c r="O5" i="1" s="1"/>
  <c r="P5" i="1" s="1"/>
  <c r="T15" i="1"/>
  <c r="U14" i="1"/>
  <c r="T14" i="1"/>
  <c r="S15" i="1"/>
  <c r="S16" i="1"/>
  <c r="S14" i="1"/>
  <c r="R7" i="1" l="1"/>
  <c r="P16" i="1" s="1"/>
  <c r="O18" i="7"/>
  <c r="O21" i="7" s="1"/>
  <c r="O25" i="7" s="1"/>
  <c r="Q7" i="2"/>
  <c r="R7" i="2"/>
  <c r="N16" i="3"/>
  <c r="N26" i="3" s="1"/>
  <c r="S24" i="3" s="1"/>
  <c r="P16" i="3"/>
  <c r="P26" i="3" s="1"/>
  <c r="S27" i="3" s="1"/>
  <c r="O16" i="3"/>
  <c r="O26" i="3" s="1"/>
  <c r="S25" i="3" s="1"/>
  <c r="N27" i="3"/>
  <c r="S26" i="3" s="1"/>
  <c r="O17" i="3"/>
  <c r="O27" i="3" s="1"/>
  <c r="S28" i="3" s="1"/>
  <c r="R5" i="1"/>
  <c r="P14" i="1" s="1"/>
  <c r="Q10" i="2"/>
  <c r="R12" i="2" s="1"/>
  <c r="S7" i="2" s="1"/>
  <c r="P18" i="2" s="1"/>
  <c r="M18" i="1"/>
  <c r="S7" i="1"/>
  <c r="Q8" i="1"/>
  <c r="N6" i="1"/>
  <c r="O6" i="1" s="1"/>
  <c r="S5" i="1" l="1"/>
  <c r="M14" i="1"/>
  <c r="M24" i="1" s="1"/>
  <c r="T7" i="2"/>
  <c r="S9" i="2"/>
  <c r="S8" i="2"/>
  <c r="O18" i="1"/>
  <c r="O14" i="1" s="1"/>
  <c r="O24" i="1" s="1"/>
  <c r="P6" i="1"/>
  <c r="R6" i="1" s="1"/>
  <c r="S6" i="1" s="1"/>
  <c r="N18" i="1"/>
  <c r="N14" i="1" s="1"/>
  <c r="N24" i="1" s="1"/>
  <c r="M16" i="1"/>
  <c r="M26" i="1" s="1"/>
  <c r="T9" i="2" l="1"/>
  <c r="P20" i="2"/>
  <c r="M20" i="2" s="1"/>
  <c r="M30" i="2" s="1"/>
  <c r="T8" i="2"/>
  <c r="P19" i="2"/>
  <c r="R8" i="1"/>
  <c r="P15" i="1"/>
  <c r="S8" i="1"/>
  <c r="O18" i="2" l="1"/>
  <c r="O28" i="2" s="1"/>
  <c r="N18" i="2"/>
  <c r="N28" i="2" s="1"/>
  <c r="M18" i="2"/>
  <c r="M28" i="2" s="1"/>
  <c r="T10" i="2"/>
  <c r="N19" i="2"/>
  <c r="N29" i="2" s="1"/>
  <c r="M19" i="2"/>
  <c r="M29" i="2" s="1"/>
  <c r="N15" i="1"/>
  <c r="N25" i="1" s="1"/>
  <c r="M15" i="1"/>
  <c r="M25" i="1" s="1"/>
  <c r="M30" i="1" s="1"/>
  <c r="N34" i="1" s="1"/>
  <c r="N37" i="1" s="1"/>
  <c r="M34" i="2" l="1"/>
  <c r="N38" i="2" s="1"/>
  <c r="N41" i="2" l="1"/>
  <c r="N42" i="2" s="1"/>
</calcChain>
</file>

<file path=xl/sharedStrings.xml><?xml version="1.0" encoding="utf-8"?>
<sst xmlns="http://schemas.openxmlformats.org/spreadsheetml/2006/main" count="1515" uniqueCount="720">
  <si>
    <t>a.</t>
  </si>
  <si>
    <t>b.</t>
  </si>
  <si>
    <t>c.</t>
  </si>
  <si>
    <t>Part a</t>
  </si>
  <si>
    <t>Part b</t>
  </si>
  <si>
    <t>Part c</t>
  </si>
  <si>
    <t>Given the following information:</t>
  </si>
  <si>
    <t>Accident Year</t>
  </si>
  <si>
    <t>12 Months</t>
  </si>
  <si>
    <t>24 Months</t>
  </si>
  <si>
    <t>36 Months</t>
  </si>
  <si>
    <t>Cumulative Paid Losses ($000)</t>
  </si>
  <si>
    <t>Expected loss emergence is estimated by a Weibull growth curve (in months) with the following parameters:</t>
  </si>
  <si>
    <t xml:space="preserve">θ = </t>
  </si>
  <si>
    <t xml:space="preserve">⍵ = </t>
  </si>
  <si>
    <t xml:space="preserve">Parameter standard deviation of the total estimated reserve = </t>
  </si>
  <si>
    <t>Calculate the standard deviation of the total reserve using the LDF method.</t>
  </si>
  <si>
    <t>AY</t>
  </si>
  <si>
    <t>Age</t>
  </si>
  <si>
    <t>Avg Age(x)</t>
  </si>
  <si>
    <t>G(x)</t>
  </si>
  <si>
    <t>LDF</t>
  </si>
  <si>
    <t>Cumulative Loss</t>
  </si>
  <si>
    <t>Est Reserve</t>
  </si>
  <si>
    <t>Expected Incremental Losses</t>
  </si>
  <si>
    <t>Ult Loss</t>
  </si>
  <si>
    <t>Chi-Squared Calc</t>
  </si>
  <si>
    <t>n</t>
  </si>
  <si>
    <t>p</t>
  </si>
  <si>
    <t>sigma^2</t>
  </si>
  <si>
    <t>Actual Incremental Losses</t>
  </si>
  <si>
    <t>%Inc Emerg</t>
  </si>
  <si>
    <t>-&gt; Parameters: 3 LDFs, Omega and theta</t>
  </si>
  <si>
    <t xml:space="preserve">Process Variance = </t>
  </si>
  <si>
    <t xml:space="preserve">Standard Dev(Resv) = </t>
  </si>
  <si>
    <t xml:space="preserve">Parameter Variance = </t>
  </si>
  <si>
    <t>(000)s</t>
  </si>
  <si>
    <t>Calculate the process variance and standard deviation of the reserve:</t>
  </si>
  <si>
    <t>Calculate the growth curve and estimated reserve for the LDF method:</t>
  </si>
  <si>
    <t>Given the following information as of December 31, 2016</t>
  </si>
  <si>
    <t>On-Level Earned Prem ($000)</t>
  </si>
  <si>
    <t>Expected loss emergence is estimated by a Loglogistic growth curve with the following parameters:</t>
  </si>
  <si>
    <t>Calculate the coefficient of variation of the total reserve estimate using the Cape Cod method.</t>
  </si>
  <si>
    <t>Premium</t>
  </si>
  <si>
    <t>Used Premium</t>
  </si>
  <si>
    <t>% Unpaid</t>
  </si>
  <si>
    <t>Expected Loss</t>
  </si>
  <si>
    <t>ELR</t>
  </si>
  <si>
    <t xml:space="preserve">x_trunc = </t>
  </si>
  <si>
    <t xml:space="preserve">G(x_trunc) = </t>
  </si>
  <si>
    <t>Calculate the growth curve and estimated reserve for the Cape Cod method with the truncation point:</t>
  </si>
  <si>
    <t>E[Loss]</t>
  </si>
  <si>
    <t>-&gt; Parameters: ELR, Omega and theta</t>
  </si>
  <si>
    <t xml:space="preserve">CV(Resv) = </t>
  </si>
  <si>
    <t>Calculate the process variance and coefficient of variation of the reserve:</t>
  </si>
  <si>
    <t>Incremental Paid Losses</t>
  </si>
  <si>
    <t>Expected loss emergence is estimated by a Weibull growth curve with the following parameters:</t>
  </si>
  <si>
    <t xml:space="preserve">Process variance/mean ratio (σ^2) = </t>
  </si>
  <si>
    <t>Graph the normalized residuals plotted against calendar year.</t>
  </si>
  <si>
    <t>Based on the normalized residual plot, briefly discuss the appropriateness of the Weibull model to</t>
  </si>
  <si>
    <t>estimate unpaid losses.</t>
  </si>
  <si>
    <t>Normalized Residuals</t>
  </si>
  <si>
    <t>Calendar Year</t>
  </si>
  <si>
    <t>Normalized Residual</t>
  </si>
  <si>
    <t>Normalized Residuals vs Calendar Year</t>
  </si>
  <si>
    <t>Normalized residuals should be random around zero. The graph shows a calendar year effect with negative residuals for 2014 and positive residuals for 2015. The model overestimates losses for CY 2014 and underestimates losses for CY 2015, so it’s not appropriate.</t>
  </si>
  <si>
    <t>Next year, insurer ABC plans to write $4,700,000 of premium for its auto book of business with an expected</t>
  </si>
  <si>
    <t>loss ratio of 72.7%.</t>
  </si>
  <si>
    <t>The Cape Cod method is used with LDF curve fitting to estimate reserves. Process variance is calculated</t>
  </si>
  <si>
    <t>with a variance/mean ratio of 16,000.</t>
  </si>
  <si>
    <t>The parameter variance is calculated using the following covariance matrix from the model:</t>
  </si>
  <si>
    <t>θ</t>
  </si>
  <si>
    <t>⍵</t>
  </si>
  <si>
    <t>Calculate the coefficient of variation of losses for the prospective year.</t>
  </si>
  <si>
    <t>Expected losses for the prospective year:</t>
  </si>
  <si>
    <t xml:space="preserve">Process Var = </t>
  </si>
  <si>
    <t xml:space="preserve">Parameter Var = </t>
  </si>
  <si>
    <t xml:space="preserve">CV = </t>
  </si>
  <si>
    <t>SD(Loss_prosp) =</t>
  </si>
  <si>
    <t>=Var(ELR) * Prem^2</t>
  </si>
  <si>
    <t xml:space="preserve">E[Loss_prosp] = </t>
  </si>
  <si>
    <t>= Prem*ELR</t>
  </si>
  <si>
    <t>=sigma^2 * E[Loss_prosp]</t>
  </si>
  <si>
    <t>Given the following information as of December 31, 2016:</t>
  </si>
  <si>
    <t>Reported Losses ($000)</t>
  </si>
  <si>
    <t>Expected accident year loss emergence is estimated by a Weibull growth curve with the following parameters:</t>
  </si>
  <si>
    <t>Calculate the ultimate loss estimate for each accident year using the LDF method.</t>
  </si>
  <si>
    <t>Calculate the total standard deviation of estimated development over the next 12 months.</t>
  </si>
  <si>
    <t>Discuss how an actuary can use the estimated calendar-year development to help validate the model.</t>
  </si>
  <si>
    <t>G(x+12)</t>
  </si>
  <si>
    <t>Calculate the growth curve and estimated 12-month development for the LDF method:</t>
  </si>
  <si>
    <t xml:space="preserve">Est.12-mo development = </t>
  </si>
  <si>
    <t>Calculate the process variance and standard deviation of the 12-month estimated development:</t>
  </si>
  <si>
    <t>One benefit is that the 12-month development estimate is testable within a short time period compared to the estimate of total unpaid loss reserves. 
Within 1 year we can see whether actual calendar year development falls within the range of estimated calendar year development (based on the expected and standard deviation of the 12-month development above). If development is within the forecast range, this would indicate that the model may be reasonable.</t>
  </si>
  <si>
    <t>Part a and b</t>
  </si>
  <si>
    <t>Expected loss emergence is estimated with a Loglogistic growth curve, G(x), where x is the number</t>
  </si>
  <si>
    <t>of months from the average accident date to the evaluation date. The table below summarizes the</t>
  </si>
  <si>
    <t>growth curve:</t>
  </si>
  <si>
    <t>x</t>
  </si>
  <si>
    <r>
      <t>G(</t>
    </r>
    <r>
      <rPr>
        <i/>
        <sz val="12"/>
        <color rgb="FF000000"/>
        <rFont val="Calibri"/>
        <family val="2"/>
      </rPr>
      <t>x</t>
    </r>
    <r>
      <rPr>
        <sz val="12"/>
        <color rgb="FF000000"/>
        <rFont val="Calibri"/>
        <family val="2"/>
      </rPr>
      <t>)</t>
    </r>
  </si>
  <si>
    <t>…</t>
  </si>
  <si>
    <t>Expected incremental loss emergence follows an over-dispersed Poisson distribution with a scaling</t>
  </si>
  <si>
    <t>Calculate the coefficient of variation of the total reserve with the LDF method using a truncation point</t>
  </si>
  <si>
    <t>of 10 years.</t>
  </si>
  <si>
    <t>Discuss the three key assumptions of this model.</t>
  </si>
  <si>
    <t>G(x_trunc) =</t>
  </si>
  <si>
    <t xml:space="preserve"> - One reserving period doesn't affect surrounding periods</t>
  </si>
  <si>
    <t xml:space="preserve"> - Assumes the emerging pattern is the same for all accident years</t>
  </si>
  <si>
    <t>Given the following information as of December 31, 2015:</t>
  </si>
  <si>
    <t>Earned Prem ($000)</t>
  </si>
  <si>
    <t>Payroll ($000)</t>
  </si>
  <si>
    <t>There have been significant rate changes, but due to data issues, the actuary is not able to calculate the</t>
  </si>
  <si>
    <t>on-leveled premium. The actuary believes payroll for the account is proportional to expected loss.</t>
  </si>
  <si>
    <t>Management decides to book reserves at the 70th percentile of the total reserve distribution.</t>
  </si>
  <si>
    <t>Calculate the total booked reserve for accident years 2013 to 2015 using the Cape Cod method</t>
  </si>
  <si>
    <t>and approximating the reserve distribution with the normal distribution.</t>
  </si>
  <si>
    <t>Briefly discuss the advantages of using parameterized curves to describe the expected loss emergence pattern.</t>
  </si>
  <si>
    <t>Use Payroll because it is proportional to E[Loss].</t>
  </si>
  <si>
    <t>Payroll</t>
  </si>
  <si>
    <t>ELR (% Payroll)</t>
  </si>
  <si>
    <t>Calculate the standard deviation of the reserve:</t>
  </si>
  <si>
    <t>(000)</t>
  </si>
  <si>
    <t>The booked reserve is at the 70th percentile:</t>
  </si>
  <si>
    <t>70th percentile (Resv) =</t>
  </si>
  <si>
    <t>The booked reserve is $1,794,000</t>
  </si>
  <si>
    <t>•	It simplifies the problem of estimating expected loss emergence because few parameters are needed.</t>
  </si>
  <si>
    <t>•	Can use data that’s not in a triangle with evenly spaced evaluation dates</t>
  </si>
  <si>
    <t>•	The indicated pattern is a smooth curve (doesn’t follow the noise in historical age-to-age factors)</t>
  </si>
  <si>
    <t>The twist in this problem is to use payroll instead of premium as the exposure index. According to Clark (pg. 47), the exposure index should be proportional to expected losses. Usually, on-leveled Earned Premium should be used so that the ELR can be assumed to be constant across accident years. Since on-leveled EP can’t be calculated, we use payroll instead.</t>
  </si>
  <si>
    <t>Discussion</t>
  </si>
  <si>
    <t>Incremental Paid Loss ($000)</t>
  </si>
  <si>
    <t>Expected loss emergence was modeled with a Weibull growth function and the LDF method was</t>
  </si>
  <si>
    <t>used to calculate the estimated reserves. Below is the summary of results by accident year:</t>
  </si>
  <si>
    <t>Paid Losses</t>
  </si>
  <si>
    <t>Growth Function G(x)</t>
  </si>
  <si>
    <t>Estimated Reserve (000)</t>
  </si>
  <si>
    <t>Parameter standard deviation for the total estimated unpaid claims is $900,000</t>
  </si>
  <si>
    <t>Discuss how the relative sizes of the coefficients of variation compare between the process variance</t>
  </si>
  <si>
    <t>d.</t>
  </si>
  <si>
    <t>Briefly suggest a change in methodology to the analysis that could reduce the total variance for the</t>
  </si>
  <si>
    <t>Part d</t>
  </si>
  <si>
    <t xml:space="preserve">CV(Process) = </t>
  </si>
  <si>
    <t xml:space="preserve">CV(Param) = </t>
  </si>
  <si>
    <t>Parts c and d touch on the broader theme of the Clark paper, which is that the Cape Cod method is preferable because it uses additional information (on-level premiums) and has fewer parameters. Because of this, parameter variance is significantly lower using the Cape Cod method instead of the LDF method.</t>
  </si>
  <si>
    <t>An actuary selects an expected loss emergence pattern for a book of business using a parameterized curve.</t>
  </si>
  <si>
    <t>The actuary then calculates the reserve estimate and reserve variance by accident year for both the LDF</t>
  </si>
  <si>
    <t>and Cape Cod methods. Below are the results:</t>
  </si>
  <si>
    <t>Reported Loss</t>
  </si>
  <si>
    <t>Estimated Reserve</t>
  </si>
  <si>
    <t>Process</t>
  </si>
  <si>
    <t>Std Dev</t>
  </si>
  <si>
    <t>Parameter Std Dev</t>
  </si>
  <si>
    <t>Total</t>
  </si>
  <si>
    <t>LDF Method</t>
  </si>
  <si>
    <t>Cape Cod Method</t>
  </si>
  <si>
    <t>Explain what is driving the difference in reserve estimate variability between the two methods.</t>
  </si>
  <si>
    <t>Calculate the total reserve coefficient of variation for both the LDF and Cape Cod methods.</t>
  </si>
  <si>
    <t>Briefly discuss why the parameter variance is greater than the process variance.</t>
  </si>
  <si>
    <t>Make and support a recommendation for which reserve model to select.</t>
  </si>
  <si>
    <t>LDF Method:</t>
  </si>
  <si>
    <t xml:space="preserve">SD(Resv) = </t>
  </si>
  <si>
    <t>Cape Cod Method:</t>
  </si>
  <si>
    <t>An actuary is using a Weibull curve to estimate loss emergence. The actuary is using maximum likelihood</t>
  </si>
  <si>
    <t>to find the best-fit parameters and is testing the parameters below:</t>
  </si>
  <si>
    <t>The expected loss ratio from the Cape Cod method using this parameter set is 73.6%.</t>
  </si>
  <si>
    <t>Calculate the triangle of expected incremental losses using the Cape Cod method.</t>
  </si>
  <si>
    <t>Place the actual and incremental losses in tabular form by accident year and development period.</t>
  </si>
  <si>
    <t>Briefly discuss an advantage of using a tabular form for the data instead of a loss triangle.</t>
  </si>
  <si>
    <t>Calculate G(x) for each accident year:</t>
  </si>
  <si>
    <t>Part b and c</t>
  </si>
  <si>
    <t>From</t>
  </si>
  <si>
    <t>To</t>
  </si>
  <si>
    <t>Expected IncLoss (mu_i)</t>
  </si>
  <si>
    <t>MLE Term</t>
  </si>
  <si>
    <r>
      <t>Actual IncLoss (c</t>
    </r>
    <r>
      <rPr>
        <vertAlign val="subscript"/>
        <sz val="12"/>
        <color rgb="FF000000"/>
        <rFont val="Calibri"/>
        <family val="2"/>
      </rPr>
      <t>i</t>
    </r>
    <r>
      <rPr>
        <sz val="12"/>
        <color rgb="FF000000"/>
        <rFont val="Calibri"/>
        <family val="2"/>
      </rPr>
      <t>)</t>
    </r>
  </si>
  <si>
    <t>Part b of this problem is a common type of problem added on to a calculation problem. Make sure to understand the assumptions behind the Clark model as well as the pros and cons of the LDF and Cape Cod methods.</t>
  </si>
  <si>
    <t>SHOW ALL WORK.</t>
  </si>
  <si>
    <t>Solution -&gt;</t>
  </si>
  <si>
    <t>We’re given the parameter variance of the ELR, which is the parameter variance of the prospective Expected Loss-to-Premium ratio, but we need the parameter variance of the prospective Expected Loss. Below is the derivation of the prospective loss parameter variance:</t>
  </si>
  <si>
    <t>The parameter variance is greater than the process variance because there are only 6 data points but the LDF model here uses 5 parameters. The model is over-parameterized and overfits the noise in the data.</t>
  </si>
  <si>
    <t>The Cape Cod method uses additional information, the on-level earned premium, which lowers the reserve estimate variability. Parameter variance is significantly lower for the Cape Cod method. Also, the Cape Cod method uses fewer parameters compared to the LDF method, which helps reduce the variance (lower sigma^2).</t>
  </si>
  <si>
    <t>There are few data points in a loss reserve triangle. Most of the uncertainty in the reserve estimate is from the parameter estimation needed to estimate the expected reserve, not random events.</t>
  </si>
  <si>
    <t>I recommend using the Cape Cod method because it uses additional information (the premium exposure) and has fewer parameters than the LDF method so that it isn’t over-parameterized. This results in a lower parameter variance.</t>
  </si>
  <si>
    <t>Calculate the sum of the MLE term for this set of parameters that can be maximized to find the best-fit</t>
  </si>
  <si>
    <t>parameters.</t>
  </si>
  <si>
    <t xml:space="preserve">• Parameter standard deviation of the total estimated reserve = </t>
  </si>
  <si>
    <t>• A truncation point of 10 years is used to limit loss development</t>
  </si>
  <si>
    <t>• Incremental losses are iid</t>
  </si>
  <si>
    <t>• The Variance/Mean scale parameter is fixed and known</t>
  </si>
  <si>
    <t>• Variance estimates are based on an approximation to the Rao-Cramer lower bound</t>
  </si>
  <si>
    <t>•  Expected incremental loss emergence follows an over-dispersed Poisson model with scaling</t>
  </si>
  <si>
    <t>• Parameter standard deviation for the total reserve is $200,000.</t>
  </si>
  <si>
    <t>• z-value for the 70th percentile of the standard distribution is 0.524</t>
  </si>
  <si>
    <t>With the tabular form, you can use data with irregular evaluation periods (e.g. the last diagonal could only have 9 months of development).</t>
  </si>
  <si>
    <t>RF Clark - 1</t>
  </si>
  <si>
    <t>RF Clark - 2</t>
  </si>
  <si>
    <t>RF Clark - 3</t>
  </si>
  <si>
    <t>RF Clark - 4</t>
  </si>
  <si>
    <t>RF Clark - 5</t>
  </si>
  <si>
    <t>RF Clark - 6</t>
  </si>
  <si>
    <t>RF Clark - 7</t>
  </si>
  <si>
    <t>RF Clark - 8</t>
  </si>
  <si>
    <t>RF Clark - 9</t>
  </si>
  <si>
    <t>RF Clark - 10</t>
  </si>
  <si>
    <t>Est. 12mo Development</t>
  </si>
  <si>
    <t>-&gt; Parameters: 3 AYs, Omega and theta</t>
  </si>
  <si>
    <t>Calculate the growth curve and estimated ultimate loss for the LDF method:</t>
  </si>
  <si>
    <t>Expected Incremental Paid Losses</t>
  </si>
  <si>
    <t>Cumulative Reported Losses ($000)</t>
  </si>
  <si>
    <t>Incremental Reported Losses ($000)</t>
  </si>
  <si>
    <t xml:space="preserve">Unpaid = </t>
  </si>
  <si>
    <t>Calculate the coefficient of variation on the unpaid claims due to the process variance.</t>
  </si>
  <si>
    <t>Calculate the coefficient of variation on the unpaid claims due to the parameter variance.</t>
  </si>
  <si>
    <t>and the parameter variance of the unpaid claims for the model.</t>
  </si>
  <si>
    <t>unpaid claims and discuss why the variance would be decreased.</t>
  </si>
  <si>
    <t>The Cape Cod method could be used. It uses fewer parameters and takes advantage of additional information, the on-level premiums, therefore should reduce the variance of unpaid claims.</t>
  </si>
  <si>
    <t>The LDF method was used to estimate unpaid loss.</t>
  </si>
  <si>
    <t>•  Process variance is calculated with a variance/mean ratio of:</t>
  </si>
  <si>
    <t>•  Parameter standard deviation for 12-month development:</t>
  </si>
  <si>
    <t xml:space="preserve">•  Parameter standard deviation of the total reserve = </t>
  </si>
  <si>
    <t>Recipe</t>
  </si>
  <si>
    <t>Clark - Variance of Reserves (LDF Method)</t>
  </si>
  <si>
    <t>Clark - Variance of Reserves (Cape Cod Method)</t>
  </si>
  <si>
    <t>Clark - Normalized Residuals</t>
  </si>
  <si>
    <t>Clark - Variance of Prospective Losses</t>
  </si>
  <si>
    <t>Clark - Variance of Calendar Year Development</t>
  </si>
  <si>
    <t>Clark - Finding Best-Fit Parameters with MLE</t>
  </si>
  <si>
    <t>sigma^2 =</t>
  </si>
  <si>
    <t>n =</t>
  </si>
  <si>
    <t>p =</t>
  </si>
  <si>
    <t>parameters σ^2 =</t>
  </si>
  <si>
    <t xml:space="preserve">σ^2 = </t>
  </si>
  <si>
    <t>In this solution, we divided 90,000 by 1,000 in the parameter variance step since we are using the incremental paid losses from the triangle (which are all divided by 1,000). Alternatively, you could multiply the incremental paid losses by 1,000 before calculating everything and then you wouldn't need to divide by 1,000 in the parameter variance step. The important thing is to use the same scale throughout, (000s) or whole dollars.</t>
  </si>
  <si>
    <r>
      <rPr>
        <b/>
        <sz val="12"/>
        <color theme="1"/>
        <rFont val="Calibri"/>
        <family val="2"/>
      </rPr>
      <t>Parameter variance for prospective losses:</t>
    </r>
    <r>
      <rPr>
        <sz val="12"/>
        <color theme="1"/>
        <rFont val="Calibri"/>
        <family val="2"/>
      </rPr>
      <t xml:space="preserve"> 
For prospective losses, the parameter variance only depends on the variance of ELR because ELR is the only uncertain parameter in this situation. This is becauase 0% of losses are developed. </t>
    </r>
  </si>
  <si>
    <t>parameter of 56,700.</t>
  </si>
  <si>
    <t>Overview</t>
  </si>
  <si>
    <t>www.RisingFellow.com</t>
  </si>
  <si>
    <t>Original Practice Problems</t>
  </si>
  <si>
    <t>The first group of problems are original practice problems. They're written to be similar to the type of questions you might see on the exam and to help you better understand the material.
For each problem you'll see:
• An original practice problem
• A detailed solution
• Discussion section that goes more in depth 
• Cross-reference with the corresponding Exam 7 Cookbook recipe (where appropriate)</t>
  </si>
  <si>
    <t>Past CAS Problems</t>
  </si>
  <si>
    <r>
      <t xml:space="preserve">The past CAS problems include the questions from the 2011-2019 released exams for the paper that are on syllabus.
For the problems you'll see:
• Past CAS question in Excel format
• A detailed solution
• A Discussion section to help explain the solution (where appropriate)
• Cross-reference with the corresponding Exam 7 Cookbook recipe (where appropriate)
</t>
    </r>
    <r>
      <rPr>
        <b/>
        <sz val="12"/>
        <color theme="1"/>
        <rFont val="Calibri"/>
        <family val="2"/>
      </rPr>
      <t>Note:</t>
    </r>
    <r>
      <rPr>
        <sz val="12"/>
        <color theme="1"/>
        <rFont val="Calibri"/>
        <family val="2"/>
      </rPr>
      <t xml:space="preserve"> 
These questions are solely owned by the CAS. They are included in the online course for student convenience.</t>
    </r>
  </si>
  <si>
    <t>Examiners' Reports Split by Problem</t>
  </si>
  <si>
    <t>In the "Extra Resources" section of the course, you'll see all the official CAS Examiners' Reports split them out by problem so they're easier to use when studying.
The PDFs are:
• Split by problem with a PDF for each problem with its solution and Examiners' Report
• Searchable if you want to find which problems test a specific concept
We posted them as a resource to help you study, especially when you want to cross-reference a problem with the official CAS Examiners' Report.</t>
  </si>
  <si>
    <t>If You Get Stuck Or Have Questions</t>
  </si>
  <si>
    <t xml:space="preserve">If you have a question on one of the problems, make sure to:
1 - Check the Discussion section and FAQ first which may help you out.
2 - Cross reference the corresponding section in the Cookbook, Study Guide, AND Source paper. This will help you more thoroughly understand the concepts and will likely answer your question.
3 - Search in the course forum to see if someone else has had a similar question.
If you're still stuck, please ask your question in the course forum and your instructor or a fellow student will be able to help you out!
</t>
  </si>
  <si>
    <t>Reserves =</t>
  </si>
  <si>
    <t>Trunc. Point</t>
  </si>
  <si>
    <t>Reserves</t>
  </si>
  <si>
    <t>0.923 - Growth</t>
  </si>
  <si>
    <t>Growth</t>
  </si>
  <si>
    <t>Avg. Age</t>
  </si>
  <si>
    <t>Losses</t>
  </si>
  <si>
    <t>Estimate the reserves:</t>
  </si>
  <si>
    <t>ELR =</t>
  </si>
  <si>
    <t>Estimate the reserves as of December 31, 2012 using the Cape Cod with a truncation point of five years.</t>
  </si>
  <si>
    <t>Estimate the reserves as of December 31, 2012 using the LDF method with a truncation points of five years.</t>
  </si>
  <si>
    <t>Prem. * Growth</t>
  </si>
  <si>
    <t>Calculate the ELR:</t>
  </si>
  <si>
    <t>Part b:</t>
  </si>
  <si>
    <t>Method</t>
  </si>
  <si>
    <t>Parameters</t>
  </si>
  <si>
    <t>Cape Cod</t>
  </si>
  <si>
    <t>Loglogistic</t>
  </si>
  <si>
    <t>parameters:</t>
  </si>
  <si>
    <t>Expected loss emergence is described by a Loglogistic curve with the following</t>
  </si>
  <si>
    <t>Trunc Point</t>
  </si>
  <si>
    <t>Trunc. LDF</t>
  </si>
  <si>
    <t>at 12/31/12</t>
  </si>
  <si>
    <t>Year</t>
  </si>
  <si>
    <t>Create the following table:</t>
  </si>
  <si>
    <t>On-Level</t>
  </si>
  <si>
    <t>Reported Losses</t>
  </si>
  <si>
    <t>Accident</t>
  </si>
  <si>
    <t>Part a:</t>
  </si>
  <si>
    <t>Given the following for an insurer as of December 31, 2012:</t>
  </si>
  <si>
    <t>RF Clark - 11</t>
  </si>
  <si>
    <r>
      <t xml:space="preserve">The data is as of 12/31/2012, so parts b and c are asking about the variance of </t>
    </r>
    <r>
      <rPr>
        <i/>
        <u/>
        <sz val="12"/>
        <color theme="1"/>
        <rFont val="Calibri (Body)"/>
      </rPr>
      <t>prospective</t>
    </r>
    <r>
      <rPr>
        <sz val="12"/>
        <color theme="1"/>
        <rFont val="Calibri (Body)"/>
      </rPr>
      <t xml:space="preserve"> losses for 2013. Make sure to look at the corresponding cookbook recipe to better understand how this is different than the variance of reserves.</t>
    </r>
  </si>
  <si>
    <t>Calculate the coefficient of variation of the 2013 expected losses using the Cape Cod method.</t>
  </si>
  <si>
    <t>Total CoV</t>
  </si>
  <si>
    <t>Total SD</t>
  </si>
  <si>
    <t>Calculate the process standard deviation of the 2013 expected losses using the Cape Cod method.</t>
  </si>
  <si>
    <t>&lt;-Var(ELR*Prem) = Prem^2*Var(ELR)</t>
  </si>
  <si>
    <t>Parameter Variance</t>
  </si>
  <si>
    <t>Part c:</t>
  </si>
  <si>
    <t>Estimate the reserves as of December 31, 2012 using the Cape Cod method.</t>
  </si>
  <si>
    <t>Process SD =</t>
  </si>
  <si>
    <t>Process Variance =</t>
  </si>
  <si>
    <t>2013 Expected loss =</t>
  </si>
  <si>
    <t>• The parameter covariance matrix is as follows:</t>
  </si>
  <si>
    <t>• Expected 2013 premium =</t>
  </si>
  <si>
    <t>• Variance/mean ratio =</t>
  </si>
  <si>
    <t>Weibull</t>
  </si>
  <si>
    <t>Expected loss emergence is described by a Weibull curve with the following</t>
  </si>
  <si>
    <t>RF Clark - 12</t>
  </si>
  <si>
    <r>
      <t xml:space="preserve">The variance of discounted reserves is covered in the study guide. The key idea is that for each accident year, we need to determine the </t>
    </r>
    <r>
      <rPr>
        <i/>
        <u/>
        <sz val="12"/>
        <color theme="1"/>
        <rFont val="Calibri (Body)"/>
      </rPr>
      <t>future</t>
    </r>
    <r>
      <rPr>
        <sz val="12"/>
        <color theme="1"/>
        <rFont val="Calibri (Body)"/>
      </rPr>
      <t xml:space="preserve"> payouts of the reserve according to the payment pattern. The payment pattern is the growth curve used here.</t>
    </r>
  </si>
  <si>
    <t>Total =</t>
  </si>
  <si>
    <t>Process Var. Excl. Sigma^2</t>
  </si>
  <si>
    <t>Total Disc. Reserves =</t>
  </si>
  <si>
    <t>Discounted Reserves</t>
  </si>
  <si>
    <t>Discounted reserves for 2012:</t>
  </si>
  <si>
    <t>Discounted reserves for 2011:</t>
  </si>
  <si>
    <t>Calculate the process standard deviation of the 2011 discounted reserves.</t>
  </si>
  <si>
    <t>Discounted reserves for 2010:</t>
  </si>
  <si>
    <t>Estimate the discounted reserves as of December 31, 2012 using the Cape Cod method with a truncation point of five years.</t>
  </si>
  <si>
    <t>For each AY, calculate the discounted reserves based on the future payouts:</t>
  </si>
  <si>
    <t>•</t>
  </si>
  <si>
    <r>
      <t xml:space="preserve">• The interest rate </t>
    </r>
    <r>
      <rPr>
        <i/>
        <sz val="12"/>
        <color theme="1"/>
        <rFont val="Calibri"/>
        <family val="2"/>
        <scheme val="minor"/>
      </rPr>
      <t xml:space="preserve">i </t>
    </r>
    <r>
      <rPr>
        <sz val="12"/>
        <color theme="1"/>
        <rFont val="Calibri"/>
        <family val="2"/>
        <scheme val="minor"/>
      </rPr>
      <t>is:</t>
    </r>
  </si>
  <si>
    <t>Calculate the expected losses for each year:</t>
  </si>
  <si>
    <t>RF Clark - 13</t>
  </si>
  <si>
    <r>
      <t xml:space="preserve">A key idea from the paper is that the Cape Cod method has lower parameter variance because there are </t>
    </r>
    <r>
      <rPr>
        <i/>
        <u/>
        <sz val="12"/>
        <color theme="1"/>
        <rFont val="Calibri (Body)"/>
      </rPr>
      <t>fewer parameters to estimate</t>
    </r>
    <r>
      <rPr>
        <sz val="12"/>
        <color theme="1"/>
        <rFont val="Calibri"/>
        <family val="2"/>
        <scheme val="minor"/>
      </rPr>
      <t xml:space="preserve"> and it </t>
    </r>
    <r>
      <rPr>
        <i/>
        <u/>
        <sz val="12"/>
        <color theme="1"/>
        <rFont val="Calibri (Body)"/>
      </rPr>
      <t>uses more information (on-level premium)</t>
    </r>
    <r>
      <rPr>
        <sz val="12"/>
        <color theme="1"/>
        <rFont val="Calibri (Body)"/>
      </rPr>
      <t xml:space="preserve">. </t>
    </r>
  </si>
  <si>
    <t>If the normalized residuals are randomly scattered around the x-axis, then we can assume that the variance/mean ratio is constant</t>
  </si>
  <si>
    <t>Plot the normalized residuals against the expected incremental losses, where the normalized residuals are equal to (actual-expected)/sqrt(sigma^2*expected)</t>
  </si>
  <si>
    <t>Total CoV =</t>
  </si>
  <si>
    <t>Total SD =</t>
  </si>
  <si>
    <t>Total Variance =</t>
  </si>
  <si>
    <t>&lt;-sigma^2*reserves</t>
  </si>
  <si>
    <t>&lt;-1/(n-p)*Chi-Square Error</t>
  </si>
  <si>
    <t>Var/Mean Ratio =</t>
  </si>
  <si>
    <t>Total Chi-Square Error =</t>
  </si>
  <si>
    <t>&lt;-number of parameters (two from growth curve plus ELR)</t>
  </si>
  <si>
    <t>&lt;-number of data points</t>
  </si>
  <si>
    <t>Cells in the above triangle calculated as (actual-expected)^2/expected</t>
  </si>
  <si>
    <t>Describe how one can test the assumption that the variance/mean ratio is constant using a residual plot.</t>
  </si>
  <si>
    <t>Calculate the coefficient of variation of the reserves as of December 31, 2012 using the Cape Cod method.</t>
  </si>
  <si>
    <t>36 mo.</t>
  </si>
  <si>
    <t>24 mo.</t>
  </si>
  <si>
    <t>12 mo.</t>
  </si>
  <si>
    <t>Calculate the coefficient of variation of the reserves as of December 31, 2012 using the LDF method.</t>
  </si>
  <si>
    <t>Create the chi-square triangle:</t>
  </si>
  <si>
    <t>•  Parameter variance (Cape Cod):</t>
  </si>
  <si>
    <t>•  Parameter variance (LDF):</t>
  </si>
  <si>
    <t>•  A loglogistic curve with two parameters was used to describe expected loss emergence</t>
  </si>
  <si>
    <t>Fitted Losses - Cape Cod ($)</t>
  </si>
  <si>
    <t>&lt;-number of parameters (two from growth curve plus three AYs)</t>
  </si>
  <si>
    <t>Fitted Losses - LDF ($)</t>
  </si>
  <si>
    <t>Reported Losses ($)</t>
  </si>
  <si>
    <t>Given the following incremental losses and reserves:</t>
  </si>
  <si>
    <t>RF Clark - 14</t>
  </si>
  <si>
    <t>Give a major reason for estimating next year's development.</t>
  </si>
  <si>
    <t>Estimate the calendar year 2013 development.</t>
  </si>
  <si>
    <t>A major reason for calculating the CY 2013 development is that the estimate is quickly testable. One year later, we can compare it to the actual development and see if it was within the forecast range.</t>
  </si>
  <si>
    <t>CY 2013 Dev. =</t>
  </si>
  <si>
    <t>CY 2013 Dev.</t>
  </si>
  <si>
    <t>Ultimate</t>
  </si>
  <si>
    <t>at 12/31/13</t>
  </si>
  <si>
    <t>Estimated</t>
  </si>
  <si>
    <t>RF Clark - 15</t>
  </si>
  <si>
    <t>Since the final carried reserve is a selection based on a number of factors, it stands to reason that the standard deviation should also be a selection.  The output from the MLE model is a reasonable basis for that selection</t>
  </si>
  <si>
    <t>Since the standard deviation in the MLE model is directly tied to the maximum likelihood estimate, it may not appropriate for the carried reserves</t>
  </si>
  <si>
    <t>Question #9</t>
  </si>
  <si>
    <t>Parameter variance -- the Cape Cod method produces a lower parameter variance than the LDF method since it requires fewer parameters and incorporates information from the exposure base</t>
  </si>
  <si>
    <t>Process variance -- the Cape Cod method can produce a higher or lower process variance than the LDF method</t>
  </si>
  <si>
    <t>Question #8</t>
  </si>
  <si>
    <t>For curves with heavy tails (such as loglogistic), it may be necessary to truncate the LDF at a finite point in time to reduce reliance on the extrapolation</t>
  </si>
  <si>
    <t>Question #7</t>
  </si>
  <si>
    <t>• Calendar year -- if residuals are randomly scattered around zero with a roughly  constant variance, we can assume that there are no calendar year effects</t>
  </si>
  <si>
    <t>• Expected loss in each increment age -- if residuals are randomly scattered around  zero with a roughly constant variance, we can assume the variance/mean ratio  is constant</t>
  </si>
  <si>
    <t>• Increment age -- if residuals are randomly scattered around zero with a roughly  constant variance, we can assume the growth curve is appropriate</t>
  </si>
  <si>
    <t>Plot the normalized residuals against the following:</t>
  </si>
  <si>
    <t>Question #6</t>
  </si>
  <si>
    <t>Since our model is non-linear, the variance estimate is a Rao-Cramer lower bound (i.e. the variance estimate is as low as it possibly can be)</t>
  </si>
  <si>
    <t>The estimate of variance based on the information matrix is only exact when we are using linear functions</t>
  </si>
  <si>
    <t>Assumption 3: Variance estimates are based on an approximation to the Rao-Cramer lower bound</t>
  </si>
  <si>
    <t>Explain why it may be appropriate to use the coefficient of variation in the model to describe the carried reserve.</t>
  </si>
  <si>
    <t>Technically, sigma^2 should be estimated simultaneously with the other model parameters, with the variance around its estimate included in 
the covariance matrix.  However, doing so results in messy mathematics.  For convenience and simplicity, we assume that sigma^2 is fixed and known</t>
  </si>
  <si>
    <t>Explain why it may NOT be appropriate to use the coefficient of variation in the model to describe the carried reserve.</t>
  </si>
  <si>
    <t>Assumption 2: The variance/mean scale parameter sigma^2 is fixed and known</t>
  </si>
  <si>
    <t>An actuary used maximum likelihood to parameterize a reserving model.  Due to management discretion, the carried reserves differ from the maximum likelihood estimate.</t>
  </si>
  <si>
    <t>``Identically distributed" assumes that the emergence pattern is the same for all   accident years, which is clearly over-simplified</t>
  </si>
  <si>
    <t>``Independence" means that one period does not affect the surrounding periods</t>
  </si>
  <si>
    <t>Compare and contrast the process and parameter variances of the Cape Cod method and the LDF method.</t>
  </si>
  <si>
    <t>Assumption 1: Incremental losses are independent and identically distributed (iid)</t>
  </si>
  <si>
    <t>Question #5</t>
  </si>
  <si>
    <t>Briefly explain why it might be necessary to truncate LDFs when using growth curves.</t>
  </si>
  <si>
    <t>• Maximum likelihood estimation produces the LDF and Cape Cod estimates of ultimate losses. Thus, the results can be presented in a familiar format</t>
  </si>
  <si>
    <t>Briefly describe three graphical tests that can be used to validate Clark's model assumptions.</t>
  </si>
  <si>
    <t>• Inclusion of scaling factors allows us to match the first and second moments of any distribution. Thus, there is high flexibility</t>
  </si>
  <si>
    <t>Question #4</t>
  </si>
  <si>
    <t>Fully describe the key assumptions underlying the model outlined in Clark.</t>
  </si>
  <si>
    <t>• Parameter variance - The uncertainty in the estimator</t>
  </si>
  <si>
    <t>• Process variance - The random variation in the actual loss emergence</t>
  </si>
  <si>
    <t>Provide two advantages of using the over-dispersed Poisson distribution to model the actual loss emergence.</t>
  </si>
  <si>
    <t>Question #3</t>
  </si>
  <si>
    <t>Briefly describe the two components of the variance of the actual loss emergence.</t>
  </si>
  <si>
    <t>The Cape Cod method is preferred since it requires the estimation of fewer parameters and incorporates information from the exposure base (i.e. premium). Since the LDF method requires a parameter for each AY, as well as the parameters for the growth curve, it tends to be over-parameterized when few data points exist.</t>
  </si>
  <si>
    <t>Question #2</t>
  </si>
  <si>
    <t>In a stochastic framework, explain why the Cape Cod method is preferred over the LDF method when few data points exist.</t>
  </si>
  <si>
    <t>• The final pattern is smooth and does not follow random movements in the historical age-to-age factors</t>
  </si>
  <si>
    <t>• We can use data from triangles that do NOT have evenly spaced evaluation data</t>
  </si>
  <si>
    <t>• Estimation is simple since we only have to estimate two parameters</t>
  </si>
  <si>
    <t>Prove three advantages of using parameterized curves to describe loss emergence patterns.</t>
  </si>
  <si>
    <t>Question #1</t>
  </si>
  <si>
    <t>Solutions -&gt;</t>
  </si>
  <si>
    <t>RF Clark - Essay Problems</t>
  </si>
  <si>
    <t>above.</t>
  </si>
  <si>
    <t>Calculate the coefficient of variation of the total unpaid claims estimated in part a.</t>
  </si>
  <si>
    <t>1 point</t>
  </si>
  <si>
    <t>Cod method.</t>
  </si>
  <si>
    <t>Using a truncation point of five years, estimate the total unpaid claims using the Cape</t>
  </si>
  <si>
    <t>3 points</t>
  </si>
  <si>
    <t xml:space="preserve">Clark – Variance of Reserves (Cape Cod Method) </t>
  </si>
  <si>
    <r>
      <t xml:space="preserve">distribution with scaling factor  </t>
    </r>
    <r>
      <rPr>
        <sz val="12"/>
        <color theme="1"/>
        <rFont val="Calibri"/>
        <family val="2"/>
      </rPr>
      <t>σ</t>
    </r>
    <r>
      <rPr>
        <vertAlign val="superscript"/>
        <sz val="12"/>
        <color theme="1"/>
        <rFont val="Calibri"/>
        <family val="2"/>
      </rPr>
      <t>2</t>
    </r>
    <r>
      <rPr>
        <sz val="12"/>
        <color theme="1"/>
        <rFont val="Calibri"/>
        <family val="2"/>
      </rPr>
      <t xml:space="preserve"> </t>
    </r>
    <r>
      <rPr>
        <sz val="12"/>
        <color theme="1"/>
        <rFont val="Calibri"/>
        <family val="2"/>
        <scheme val="minor"/>
      </rPr>
      <t xml:space="preserve">= </t>
    </r>
  </si>
  <si>
    <t>• The actual incremental loss emergence follows an over-dispersed Poisson</t>
  </si>
  <si>
    <r>
      <t xml:space="preserve">and  </t>
    </r>
    <r>
      <rPr>
        <sz val="12"/>
        <color theme="1"/>
        <rFont val="Calibri"/>
        <family val="2"/>
      </rPr>
      <t>𝜃</t>
    </r>
    <r>
      <rPr>
        <sz val="12"/>
        <color theme="1"/>
        <rFont val="Calibri"/>
        <family val="2"/>
        <scheme val="minor"/>
      </rPr>
      <t xml:space="preserve"> =</t>
    </r>
  </si>
  <si>
    <t xml:space="preserve">ω = </t>
  </si>
  <si>
    <t xml:space="preserve">StdDev(Resv) = </t>
  </si>
  <si>
    <t>• The maximum likelihood estimates of the parameters are:</t>
  </si>
  <si>
    <t>Process Var</t>
  </si>
  <si>
    <t>date, and G is the growth function describing cumulative percent reported.</t>
  </si>
  <si>
    <t>Part b.</t>
  </si>
  <si>
    <t>where x denotes time in months from the average accident date to the evaluation</t>
  </si>
  <si>
    <t xml:space="preserve">Total Unpaid = </t>
  </si>
  <si>
    <r>
      <t>G(x</t>
    </r>
    <r>
      <rPr>
        <vertAlign val="subscript"/>
        <sz val="12"/>
        <color theme="1"/>
        <rFont val="Calibri (Body)"/>
      </rPr>
      <t>trunc</t>
    </r>
    <r>
      <rPr>
        <sz val="12"/>
        <color theme="1"/>
        <rFont val="Calibri"/>
        <family val="2"/>
        <scheme val="minor"/>
      </rPr>
      <t xml:space="preserve">) = </t>
    </r>
  </si>
  <si>
    <t>approximated by a loglogistic function of the form:</t>
  </si>
  <si>
    <t xml:space="preserve">x = </t>
  </si>
  <si>
    <t>•  The expected accident year loss emergence pattern (growth function) can be</t>
  </si>
  <si>
    <t>Truncation occurs at 60 months (avg. age of 54)</t>
  </si>
  <si>
    <t>•  Parameter standard deviation for the total estimated unpaid claims is:</t>
  </si>
  <si>
    <t xml:space="preserve">Function </t>
  </si>
  <si>
    <t xml:space="preserve">Premium </t>
  </si>
  <si>
    <t xml:space="preserve">Year </t>
  </si>
  <si>
    <t xml:space="preserve"> Reported</t>
  </si>
  <si>
    <t xml:space="preserve"> Earned </t>
  </si>
  <si>
    <t>Reserve</t>
  </si>
  <si>
    <t>Used Prem</t>
  </si>
  <si>
    <t>OLP</t>
  </si>
  <si>
    <t>Calculate the expected loss ratio first. Then estimate the reserves as Prem * ELR * Truncated Unpaid %:</t>
  </si>
  <si>
    <t>Given the following loss reserving information as of December 31, 2010:</t>
  </si>
  <si>
    <t>Part a.</t>
  </si>
  <si>
    <t>Points:</t>
  </si>
  <si>
    <t>Q #2</t>
  </si>
  <si>
    <t>Exam 7</t>
  </si>
  <si>
    <t>Spring 2011</t>
  </si>
  <si>
    <t>Source:</t>
  </si>
  <si>
    <t>CV =</t>
  </si>
  <si>
    <t>Std Dev( Resv ) =</t>
  </si>
  <si>
    <t>Part c.</t>
  </si>
  <si>
    <t>estimate.</t>
  </si>
  <si>
    <t>Process Std Dev =</t>
  </si>
  <si>
    <t>Calculate the total standard deviation and the coefficient of variation of the reserve</t>
  </si>
  <si>
    <t>ProcessVar =</t>
  </si>
  <si>
    <t>Calculate the process standard deviation of the reserve estimate in part a. above.</t>
  </si>
  <si>
    <t>0.5 point</t>
  </si>
  <si>
    <t>Estimate the total loss reserve using the Cape Cod method.</t>
  </si>
  <si>
    <t>2 points</t>
  </si>
  <si>
    <r>
      <t>• Process variance/mean scale parameter (</t>
    </r>
    <r>
      <rPr>
        <sz val="12"/>
        <color theme="1"/>
        <rFont val="Calibri"/>
        <family val="2"/>
      </rPr>
      <t>σ</t>
    </r>
    <r>
      <rPr>
        <vertAlign val="superscript"/>
        <sz val="12"/>
        <color theme="1"/>
        <rFont val="Calibri"/>
        <family val="2"/>
      </rPr>
      <t>2</t>
    </r>
    <r>
      <rPr>
        <sz val="12"/>
        <color theme="1"/>
        <rFont val="Calibri"/>
        <family val="2"/>
        <scheme val="minor"/>
      </rPr>
      <t>):</t>
    </r>
  </si>
  <si>
    <t>Total Reserve =</t>
  </si>
  <si>
    <t>• Parameter standard deviation:</t>
  </si>
  <si>
    <t>Pattern</t>
  </si>
  <si>
    <t>Paid Loss</t>
  </si>
  <si>
    <t>Premiums</t>
  </si>
  <si>
    <t>Emergence</t>
  </si>
  <si>
    <t>Cumulative</t>
  </si>
  <si>
    <t>On-level</t>
  </si>
  <si>
    <t xml:space="preserve">Accident </t>
  </si>
  <si>
    <t>Fitted Paid</t>
  </si>
  <si>
    <t>Loss</t>
  </si>
  <si>
    <t>Estimate Reserve</t>
  </si>
  <si>
    <t>Paid</t>
  </si>
  <si>
    <t>Given the following information as of December 31, 2011:</t>
  </si>
  <si>
    <t>Spring 2012</t>
  </si>
  <si>
    <t xml:space="preserve">Clark – Normalized Residuals </t>
  </si>
  <si>
    <t>Clark – Variance of Reserves (LDF Method)</t>
  </si>
  <si>
    <t>On the exam you won't be asked to create a graph (unless that changes), but you should understand how to interpret it.</t>
  </si>
  <si>
    <t>Note:</t>
  </si>
  <si>
    <t>Residuals should be random around zero. Residuals at age 12 (avg. age 6) are positive (the model underestimates losses) and the residuals at ages 24 and 36 are negative (the model overestimates losses). Therefore, the Weibull model is inappropriate for this data.</t>
  </si>
  <si>
    <t xml:space="preserve">(000) </t>
  </si>
  <si>
    <t>ProcessStd Dev =</t>
  </si>
  <si>
    <t>⇽ p = # AY's + # parameters in G(x)</t>
  </si>
  <si>
    <t>⇽ number of data points</t>
  </si>
  <si>
    <r>
      <rPr>
        <sz val="12"/>
        <color theme="1"/>
        <rFont val="Symbol"/>
        <family val="1"/>
        <charset val="2"/>
      </rPr>
      <t>s</t>
    </r>
    <r>
      <rPr>
        <vertAlign val="superscript"/>
        <sz val="12"/>
        <color theme="1"/>
        <rFont val="Calibri"/>
        <family val="2"/>
      </rPr>
      <t>2</t>
    </r>
    <r>
      <rPr>
        <sz val="12"/>
        <color theme="1"/>
        <rFont val="Calibri"/>
        <family val="2"/>
      </rPr>
      <t xml:space="preserve"> =</t>
    </r>
  </si>
  <si>
    <t>Chi-Square error terms:</t>
  </si>
  <si>
    <t>Based on your graphical results, discuss the appropriateness of the Weibull model above.</t>
  </si>
  <si>
    <t>Graph the normalized residuals plotted against the increment age of loss emergence.</t>
  </si>
  <si>
    <t>through 2012 using the LDF method.</t>
  </si>
  <si>
    <t>Calculate the process standard deviation of the reserve estimate for accident years 2010</t>
  </si>
  <si>
    <t>Actual Incrementals:</t>
  </si>
  <si>
    <r>
      <rPr>
        <sz val="12"/>
        <color theme="1"/>
        <rFont val="Calibri"/>
        <family val="2"/>
      </rPr>
      <t>𝜃</t>
    </r>
    <r>
      <rPr>
        <sz val="12"/>
        <color theme="1"/>
        <rFont val="Calibri"/>
        <family val="2"/>
        <scheme val="minor"/>
      </rPr>
      <t xml:space="preserve"> = </t>
    </r>
  </si>
  <si>
    <t>%Inc Emergence</t>
  </si>
  <si>
    <t xml:space="preserve">Parameter estimates are: </t>
  </si>
  <si>
    <r>
      <t>Ult</t>
    </r>
    <r>
      <rPr>
        <vertAlign val="subscript"/>
        <sz val="12"/>
        <color theme="1"/>
        <rFont val="Calibri"/>
        <family val="2"/>
        <scheme val="minor"/>
      </rPr>
      <t>AY</t>
    </r>
  </si>
  <si>
    <t>by a Weibull function of the form:</t>
  </si>
  <si>
    <t>The expected accident year loss emergence pattern (growth function) is approximated</t>
  </si>
  <si>
    <t>Calculate the expected incrementals based on the ultimate loss from the LDF method and G(x):</t>
  </si>
  <si>
    <t>Cumulative Paid Loss ($000)</t>
  </si>
  <si>
    <t xml:space="preserve"> Reserve</t>
  </si>
  <si>
    <t>Avg Age (x)</t>
  </si>
  <si>
    <t>Q #3</t>
  </si>
  <si>
    <t>Spring 2013</t>
  </si>
  <si>
    <t>combined.</t>
  </si>
  <si>
    <t>Clark – Variance of Reserves (Cape Cod Method)</t>
  </si>
  <si>
    <t>Calculate the standard deviation of the reserve due to parameter and process variance</t>
  </si>
  <si>
    <t>parameter standard deviation of the total estimated reserve is $350,000.</t>
  </si>
  <si>
    <t>were previously estimated, resulting in a total estimated reserve of $1,500,000. The</t>
  </si>
  <si>
    <r>
      <t>The parameters of the loglogistic growth curve (</t>
    </r>
    <r>
      <rPr>
        <i/>
        <sz val="12"/>
        <color theme="1"/>
        <rFont val="Calibri"/>
        <family val="2"/>
      </rPr>
      <t>ω</t>
    </r>
    <r>
      <rPr>
        <sz val="12"/>
        <color theme="1"/>
        <rFont val="Calibri"/>
        <family val="2"/>
        <scheme val="minor"/>
      </rPr>
      <t xml:space="preserve"> and </t>
    </r>
    <r>
      <rPr>
        <i/>
        <sz val="12"/>
        <color theme="1"/>
        <rFont val="Calibri"/>
        <family val="2"/>
      </rPr>
      <t>𝜃</t>
    </r>
    <r>
      <rPr>
        <sz val="12"/>
        <color theme="1"/>
        <rFont val="Calibri"/>
        <family val="2"/>
        <scheme val="minor"/>
      </rPr>
      <t>) and the expected loss ratio (ELR)</t>
    </r>
  </si>
  <si>
    <t>From the examiners’ report, the most common error was not reflecting thousands (000’s). Especially for Clark problems, make sure to consistently use either whole dollars or thousands throughout the problem.</t>
  </si>
  <si>
    <t>StdDev(Resv) =</t>
  </si>
  <si>
    <t xml:space="preserve">Months </t>
  </si>
  <si>
    <t>⇽ = SUM(Chi-Square Error) / (n-p)</t>
  </si>
  <si>
    <r>
      <rPr>
        <sz val="12"/>
        <color theme="1"/>
        <rFont val="Symbol"/>
        <family val="1"/>
        <charset val="2"/>
      </rPr>
      <t>s</t>
    </r>
    <r>
      <rPr>
        <vertAlign val="superscript"/>
        <sz val="12"/>
        <color theme="1"/>
        <rFont val="Calibri"/>
        <family val="2"/>
      </rPr>
      <t xml:space="preserve">2 </t>
    </r>
    <r>
      <rPr>
        <sz val="12"/>
        <color theme="1"/>
        <rFont val="Calibri"/>
        <family val="2"/>
      </rPr>
      <t>=</t>
    </r>
  </si>
  <si>
    <t>Expected Incremental Reported Losses ($000)</t>
  </si>
  <si>
    <t>We need the chi-square error terms:</t>
  </si>
  <si>
    <t>Actual Incremental Reported Losses ($000)</t>
  </si>
  <si>
    <t>⇽ p = 1 + # parameters in G(x)</t>
  </si>
  <si>
    <t>Given the following data for a Cape Cod reserve analysis:</t>
  </si>
  <si>
    <t>Spring 2014</t>
  </si>
  <si>
    <t>Mack (2000) – Benktander Method</t>
  </si>
  <si>
    <r>
      <t>R</t>
    </r>
    <r>
      <rPr>
        <vertAlign val="subscript"/>
        <sz val="12"/>
        <color theme="1"/>
        <rFont val="Calibri"/>
        <family val="2"/>
        <scheme val="minor"/>
      </rPr>
      <t>GB</t>
    </r>
    <r>
      <rPr>
        <sz val="12"/>
        <color theme="1"/>
        <rFont val="Calibri"/>
        <family val="2"/>
        <scheme val="minor"/>
      </rPr>
      <t xml:space="preserve"> =</t>
    </r>
  </si>
  <si>
    <r>
      <rPr>
        <b/>
        <sz val="12"/>
        <color theme="1"/>
        <rFont val="Calibri"/>
        <family val="2"/>
        <scheme val="minor"/>
      </rPr>
      <t>Part b</t>
    </r>
    <r>
      <rPr>
        <sz val="12"/>
        <color theme="1"/>
        <rFont val="Calibri"/>
        <family val="2"/>
        <scheme val="minor"/>
      </rPr>
      <t xml:space="preserve"> - In my opinion, this is more like a BF ultimate loss rather than a Cape Cod ultimate since we are using an a priori. Regardless, this is what they were looking for. Plus, Clark does talk about using exposure bases other than premium for the Cape Cod.
</t>
    </r>
    <r>
      <rPr>
        <b/>
        <sz val="12"/>
        <color theme="1"/>
        <rFont val="Calibri"/>
        <family val="2"/>
        <scheme val="minor"/>
      </rPr>
      <t>Part d</t>
    </r>
    <r>
      <rPr>
        <sz val="12"/>
        <color theme="1"/>
        <rFont val="Calibri"/>
        <family val="2"/>
        <scheme val="minor"/>
      </rPr>
      <t xml:space="preserve"> - This asks you to calculate the Benktander </t>
    </r>
    <r>
      <rPr>
        <i/>
        <u/>
        <sz val="12"/>
        <color theme="1"/>
        <rFont val="Calibri (Body)"/>
      </rPr>
      <t>reserve</t>
    </r>
    <r>
      <rPr>
        <sz val="12"/>
        <color theme="1"/>
        <rFont val="Calibri"/>
        <family val="2"/>
        <scheme val="minor"/>
      </rPr>
      <t xml:space="preserve"> as a credibility-weighting of the LDF and Cape Cod ultimates, so you would need to show the above solution. Remember, you can also calculate the Benktander reserve directly as a second iteration of the BF procedure:</t>
    </r>
  </si>
  <si>
    <r>
      <t>Ult</t>
    </r>
    <r>
      <rPr>
        <vertAlign val="subscript"/>
        <sz val="12"/>
        <color theme="1"/>
        <rFont val="Calibri"/>
        <family val="2"/>
        <scheme val="minor"/>
      </rPr>
      <t>GB</t>
    </r>
    <r>
      <rPr>
        <sz val="12"/>
        <color theme="1"/>
        <rFont val="Calibri"/>
        <family val="2"/>
        <scheme val="minor"/>
      </rPr>
      <t xml:space="preserve"> =</t>
    </r>
  </si>
  <si>
    <t>estimates of ultimate loss in parts b. and c. above using the Benktander method.</t>
  </si>
  <si>
    <t>Benktander is a credibility-weighting of the LDF ultimate and Cape Cod (or BF) ultimate with 
z = %Paid = G(x).</t>
  </si>
  <si>
    <t>Calculate a reserve estimate for the accident year by credibility-weighting the two</t>
  </si>
  <si>
    <t>Part d.</t>
  </si>
  <si>
    <t>and the actual payments through 36 months, disregarding the a priori expectation.</t>
  </si>
  <si>
    <r>
      <t>Ult</t>
    </r>
    <r>
      <rPr>
        <vertAlign val="subscript"/>
        <sz val="12"/>
        <color theme="1"/>
        <rFont val="Calibri"/>
        <family val="2"/>
        <scheme val="minor"/>
      </rPr>
      <t>LDF</t>
    </r>
    <r>
      <rPr>
        <sz val="12"/>
        <color theme="1"/>
        <rFont val="Calibri"/>
        <family val="2"/>
        <scheme val="minor"/>
      </rPr>
      <t xml:space="preserve"> =</t>
    </r>
  </si>
  <si>
    <t>Estimate the ultimate loss for the accident year based on the loglogistic payment model</t>
  </si>
  <si>
    <t>CDF =</t>
  </si>
  <si>
    <t>assumptions based upon the Cape Cod method.</t>
  </si>
  <si>
    <t>accident year are $650,000. Estimate the ultimate loss for the accident year using</t>
  </si>
  <si>
    <t>Assume the actual cumulative paid losses at 36 months after the beginning of the</t>
  </si>
  <si>
    <t>0.75 point</t>
  </si>
  <si>
    <r>
      <t>Ult</t>
    </r>
    <r>
      <rPr>
        <vertAlign val="subscript"/>
        <sz val="12"/>
        <color theme="1"/>
        <rFont val="Calibri"/>
        <family val="2"/>
        <scheme val="minor"/>
      </rPr>
      <t>CC</t>
    </r>
    <r>
      <rPr>
        <sz val="12"/>
        <color theme="1"/>
        <rFont val="Calibri"/>
        <family val="2"/>
        <scheme val="minor"/>
      </rPr>
      <t xml:space="preserve"> =</t>
    </r>
  </si>
  <si>
    <t>accident year.</t>
  </si>
  <si>
    <t>Calculate the expected losses paid in the first 36 months after the beginning of the</t>
  </si>
  <si>
    <t xml:space="preserve">Loss at 36 = </t>
  </si>
  <si>
    <t>•  𝜃 =</t>
  </si>
  <si>
    <t xml:space="preserve">•  ω = </t>
  </si>
  <si>
    <r>
      <t>E[Loss</t>
    </r>
    <r>
      <rPr>
        <vertAlign val="subscript"/>
        <sz val="12"/>
        <color theme="1"/>
        <rFont val="Calibri"/>
        <family val="2"/>
        <scheme val="minor"/>
      </rPr>
      <t>36mo</t>
    </r>
    <r>
      <rPr>
        <sz val="12"/>
        <color theme="1"/>
        <rFont val="Calibri"/>
        <family val="2"/>
        <scheme val="minor"/>
      </rPr>
      <t>] =</t>
    </r>
  </si>
  <si>
    <t>E[Ult] =</t>
  </si>
  <si>
    <t>age of reported losses in months:</t>
  </si>
  <si>
    <t>where G is the cumulative proportion of ultimate losses paid and x represents the average</t>
  </si>
  <si>
    <t>G(x) =</t>
  </si>
  <si>
    <t>The expected loss payment pattern is approximated by the following loglogistic function</t>
  </si>
  <si>
    <t>Avg age: x =</t>
  </si>
  <si>
    <t>year. The a priori ultimate loss is $800 per exposure unit.</t>
  </si>
  <si>
    <t>An insurance company has 1,000 exposures uniformly distributed throughout the accident</t>
  </si>
  <si>
    <t>Q # 5</t>
  </si>
  <si>
    <t>would change in this direction.</t>
  </si>
  <si>
    <t>changed from the LDF method to the Cape Cod method, and briefly explain the reason it</t>
  </si>
  <si>
    <t>estimate would change if the method used to calculate the unpaid claims estimate were</t>
  </si>
  <si>
    <r>
      <rPr>
        <b/>
        <sz val="12"/>
        <color theme="1"/>
        <rFont val="Calibri"/>
        <family val="2"/>
        <scheme val="minor"/>
      </rPr>
      <t>Part a</t>
    </r>
    <r>
      <rPr>
        <sz val="12"/>
        <color theme="1"/>
        <rFont val="Calibri"/>
        <family val="2"/>
        <scheme val="minor"/>
      </rPr>
      <t xml:space="preserve"> is a Variance of Reserves problem using the LDF method and a truncation point. According to the Examiners’ Report, the most common error was to calculate the estimated reserve in thousands, but using other inputs, such as the parameter standard deviation, in whole dollars. Make sure to use either thousands or whole dollars through the whole problem.  Either way, you should get a 4.74% CV.
Other common errors were to use the wrong truncation point, not truncating the LDFs, using ultimate losses instead of the reserve estimate for the process variance, and applying the parameter standard deviation in place of the parameter variance when calculating the total standard deviation.
</t>
    </r>
    <r>
      <rPr>
        <b/>
        <sz val="12"/>
        <color theme="1"/>
        <rFont val="Calibri"/>
        <family val="2"/>
        <scheme val="minor"/>
      </rPr>
      <t>Part b</t>
    </r>
    <r>
      <rPr>
        <sz val="12"/>
        <color theme="1"/>
        <rFont val="Calibri"/>
        <family val="2"/>
        <scheme val="minor"/>
      </rPr>
      <t xml:space="preserve"> - You needed to identify that the CV would decrease and briefly explain the reason for why it would decrease (see pg. 69 of Clark for more info). </t>
    </r>
  </si>
  <si>
    <t>Identify the direction in which the coefficient of variation of the total unpaid claims</t>
  </si>
  <si>
    <t>unpaid claims using the LDF method.</t>
  </si>
  <si>
    <t>Using a truncation point of 10 years, calculate the coefficient of variation of the total</t>
  </si>
  <si>
    <t>The CV will decrease because the Cape Cod method uses more information, the on-level premium. This results in a better estimate of the reserve with a lower CV.</t>
  </si>
  <si>
    <t xml:space="preserve">•  Parameter standard deviation for the total estimated unpaid claims is </t>
  </si>
  <si>
    <r>
      <t xml:space="preserve">     distribution with scaling factor </t>
    </r>
    <r>
      <rPr>
        <sz val="12"/>
        <color theme="1"/>
        <rFont val="Calibri"/>
        <family val="2"/>
      </rPr>
      <t>σ</t>
    </r>
    <r>
      <rPr>
        <vertAlign val="superscript"/>
        <sz val="12"/>
        <color theme="1"/>
        <rFont val="Calibri"/>
        <family val="2"/>
      </rPr>
      <t>2</t>
    </r>
    <r>
      <rPr>
        <sz val="12"/>
        <color theme="1"/>
        <rFont val="Calibri"/>
        <family val="2"/>
        <scheme val="minor"/>
      </rPr>
      <t xml:space="preserve"> =</t>
    </r>
  </si>
  <si>
    <t>•  The expected incremental paid claim emergence follows an over-dispersed Poisson</t>
  </si>
  <si>
    <t>the average time since accident occurrence in months.</t>
  </si>
  <si>
    <t>function where G is the cumulative proportion of ultimate claims paid and x represents</t>
  </si>
  <si>
    <t>•  The expected paid claim emergence pattern has been approximated by the following</t>
  </si>
  <si>
    <r>
      <t>LDF</t>
    </r>
    <r>
      <rPr>
        <vertAlign val="subscript"/>
        <sz val="12"/>
        <color theme="1"/>
        <rFont val="Calibri (Body)"/>
      </rPr>
      <t>trunc</t>
    </r>
  </si>
  <si>
    <t>($000)</t>
  </si>
  <si>
    <t>Claims</t>
  </si>
  <si>
    <r>
      <t>x</t>
    </r>
    <r>
      <rPr>
        <vertAlign val="subscript"/>
        <sz val="12"/>
        <color theme="1"/>
        <rFont val="Calibri (Body)"/>
      </rPr>
      <t>trunc</t>
    </r>
    <r>
      <rPr>
        <sz val="12"/>
        <color theme="1"/>
        <rFont val="Calibri"/>
        <family val="2"/>
        <scheme val="minor"/>
      </rPr>
      <t xml:space="preserve"> = </t>
    </r>
  </si>
  <si>
    <t>Given the following paid claim information as of December 31, 2014:</t>
  </si>
  <si>
    <t>Spring 2015</t>
  </si>
  <si>
    <r>
      <rPr>
        <b/>
        <sz val="12"/>
        <color theme="1"/>
        <rFont val="Calibri"/>
        <family val="2"/>
        <scheme val="minor"/>
      </rPr>
      <t>Part c</t>
    </r>
    <r>
      <rPr>
        <sz val="12"/>
        <color theme="1"/>
        <rFont val="Calibri"/>
        <family val="2"/>
        <scheme val="minor"/>
      </rPr>
      <t xml:space="preserve"> - The bottom of pg. 68 in Clark points out the difference in the number of parameters.</t>
    </r>
  </si>
  <si>
    <r>
      <t>The 𝜎</t>
    </r>
    <r>
      <rPr>
        <vertAlign val="superscript"/>
        <sz val="12"/>
        <color theme="1"/>
        <rFont val="Calibri (Body)"/>
      </rPr>
      <t>2</t>
    </r>
    <r>
      <rPr>
        <sz val="12"/>
        <color theme="1"/>
        <rFont val="Calibri"/>
        <family val="2"/>
        <scheme val="minor"/>
      </rPr>
      <t xml:space="preserve"> refers to the process variance. When calculating 𝜎</t>
    </r>
    <r>
      <rPr>
        <vertAlign val="superscript"/>
        <sz val="12"/>
        <color theme="1"/>
        <rFont val="Calibri (Body)"/>
      </rPr>
      <t>2</t>
    </r>
    <r>
      <rPr>
        <sz val="12"/>
        <color theme="1"/>
        <rFont val="Calibri"/>
        <family val="2"/>
        <scheme val="minor"/>
      </rPr>
      <t>, we divide by n - p, where p is the number of parameters. Since the LDF method requires more parameters, it has a higher 𝜎</t>
    </r>
    <r>
      <rPr>
        <vertAlign val="superscript"/>
        <sz val="12"/>
        <color theme="1"/>
        <rFont val="Calibri (Body)"/>
      </rPr>
      <t>2</t>
    </r>
    <r>
      <rPr>
        <sz val="12"/>
        <color theme="1"/>
        <rFont val="Calibri"/>
        <family val="2"/>
        <scheme val="minor"/>
      </rPr>
      <t>.</t>
    </r>
  </si>
  <si>
    <t>Parameter Var</t>
  </si>
  <si>
    <r>
      <t>Explain why σ</t>
    </r>
    <r>
      <rPr>
        <vertAlign val="superscript"/>
        <sz val="12"/>
        <color theme="1"/>
        <rFont val="Calibri"/>
        <family val="2"/>
        <scheme val="minor"/>
      </rPr>
      <t>2</t>
    </r>
    <r>
      <rPr>
        <sz val="12"/>
        <color theme="1"/>
        <rFont val="Calibri"/>
        <family val="2"/>
        <scheme val="minor"/>
      </rPr>
      <t xml:space="preserve"> for the LDF method is higher than σ</t>
    </r>
    <r>
      <rPr>
        <vertAlign val="superscript"/>
        <sz val="12"/>
        <color theme="1"/>
        <rFont val="Calibri"/>
        <family val="2"/>
        <scheme val="minor"/>
      </rPr>
      <t>2</t>
    </r>
    <r>
      <rPr>
        <sz val="12"/>
        <color theme="1"/>
        <rFont val="Calibri"/>
        <family val="2"/>
        <scheme val="minor"/>
      </rPr>
      <t xml:space="preserve"> for the Cape Cod method.</t>
    </r>
  </si>
  <si>
    <t>the LDF method.</t>
  </si>
  <si>
    <t>LDF Reserve</t>
  </si>
  <si>
    <t>Calculate the total standard deviation of the total loss reserve indication resulting from</t>
  </si>
  <si>
    <t>the Cape Cod method.</t>
  </si>
  <si>
    <t>1.25 points</t>
  </si>
  <si>
    <r>
      <t>•  Process variance/mean scale parameter (σ</t>
    </r>
    <r>
      <rPr>
        <vertAlign val="superscript"/>
        <sz val="12"/>
        <color theme="1"/>
        <rFont val="Calibri"/>
        <family val="2"/>
        <scheme val="minor"/>
      </rPr>
      <t>2</t>
    </r>
    <r>
      <rPr>
        <sz val="12"/>
        <color theme="1"/>
        <rFont val="Calibri"/>
        <family val="2"/>
        <scheme val="minor"/>
      </rPr>
      <t>):</t>
    </r>
  </si>
  <si>
    <t>•  Parameter standard deviation:</t>
  </si>
  <si>
    <t>Calculate the total SD:</t>
  </si>
  <si>
    <t xml:space="preserve"> Paid Loss</t>
  </si>
  <si>
    <t xml:space="preserve">On-level </t>
  </si>
  <si>
    <t>OLP*Growth</t>
  </si>
  <si>
    <t>Calculate the expected loss ratio and estimate the reserves as ELR*OLP*(1-Growth):</t>
  </si>
  <si>
    <t>Spring 2016</t>
  </si>
  <si>
    <r>
      <rPr>
        <b/>
        <sz val="12"/>
        <color theme="1"/>
        <rFont val="Calibri"/>
        <family val="2"/>
        <scheme val="minor"/>
      </rPr>
      <t>Part b</t>
    </r>
    <r>
      <rPr>
        <sz val="12"/>
        <color theme="1"/>
        <rFont val="Calibri"/>
        <family val="2"/>
        <scheme val="minor"/>
      </rPr>
      <t xml:space="preserve"> - You need to look at the indicated loss ratios by accident year to test whether a constant ELR is appropriate. This is discussed on page 67 and the top of page 68 in the source.</t>
    </r>
  </si>
  <si>
    <t>book of business.</t>
  </si>
  <si>
    <t>Evaluate the appropriateness of using the Cape Cod method with a constant ELR for this</t>
  </si>
  <si>
    <t>Use the Cape Cod method to calculate the expected unpaid losses for accident year 2013.</t>
  </si>
  <si>
    <t>The loss ratios show a decreasing trend, so the assumption of a constant ELR is inappropriate.</t>
  </si>
  <si>
    <t>•  The expected loss ratio (ELR) for this book is:</t>
  </si>
  <si>
    <t>Loss Ratio</t>
  </si>
  <si>
    <t xml:space="preserve">    and x represents the average age (in months) since accident occurrence:</t>
  </si>
  <si>
    <t>Used</t>
  </si>
  <si>
    <t xml:space="preserve">    the following function, where G is the cumulative proportion of ultimate losses paid</t>
  </si>
  <si>
    <t>•  The expected loss payment pattern for the insurance company was approximated by</t>
  </si>
  <si>
    <t>We need to calculate the indicated ultimate loss ratios, where ultimate loss ratio is equal to paid loss divided by the used-up premium:</t>
  </si>
  <si>
    <t>&lt;-OLP*ELR*(1-Growth)</t>
  </si>
  <si>
    <t>Cape Cod Reserve =</t>
  </si>
  <si>
    <t xml:space="preserve">Year  </t>
  </si>
  <si>
    <t xml:space="preserve">G(x) = </t>
  </si>
  <si>
    <t>AY 2013 Avg. Age</t>
  </si>
  <si>
    <t>Given the following information for an insurer's book of business as of December 31, 2015:</t>
  </si>
  <si>
    <t>Q #4</t>
  </si>
  <si>
    <t>Test for expected loss ratio constancy across accident years.</t>
  </si>
  <si>
    <t>The Cape Cod method assumes a constant ELR across all accident years. You can test this assumption by looking at the estimated ultimate loss ratios by accident year. If there is a pattern, such as an increasing loss ratio, then the assumption of a constant ELR isn’t reasonable.</t>
  </si>
  <si>
    <t xml:space="preserve">      the average age in months.</t>
  </si>
  <si>
    <t>where G is the cumulative proportion of ultimate losses reported and x</t>
  </si>
  <si>
    <t xml:space="preserve">•                              </t>
  </si>
  <si>
    <t>Since the loss ratios are showing an obvious increasing pattern, there does NOT appear to be a constant expected loss ratio across accident years.</t>
  </si>
  <si>
    <t>On-Level 
Premium ($000)</t>
  </si>
  <si>
    <t>Accident 
Year</t>
  </si>
  <si>
    <t>Given the following data and growth curve as of December 31, 2016:</t>
  </si>
  <si>
    <t>We need to calculate the ultimate loss ratios, where ultimate loss ratio is equal to reported losses divided by the used-up premium:</t>
  </si>
  <si>
    <t>Spring 2017</t>
  </si>
  <si>
    <t>The Weibull growth curve would be appropriate for a short-tailed line of business because it has a lighter tail (thus, it terminates sooner) than the Loglogistic curve used in the problem</t>
  </si>
  <si>
    <t>Total Benktander Reserve =</t>
  </si>
  <si>
    <t>Benk Reserve</t>
  </si>
  <si>
    <t>CC Reserve</t>
  </si>
  <si>
    <t>CL Reserve</t>
  </si>
  <si>
    <t>% Paid</t>
  </si>
  <si>
    <t>Benktander Reserve = CL Resv * %Paid + Cape Cod Resv * (1 - %Paid)</t>
  </si>
  <si>
    <t>to approximate the loss payment pattern for a short-tailed line of business.</t>
  </si>
  <si>
    <t>First, calculate the Chain Ladder reserve where CDF to Ult = 1 / G(x):</t>
  </si>
  <si>
    <t>Identify and briefly describe a different growth curve form that would be more appropriate</t>
  </si>
  <si>
    <t>0.5 points</t>
  </si>
  <si>
    <t>Cape Cod method and chain ladder method using the Benktander method.</t>
  </si>
  <si>
    <t>Calculate the total loss reserve by credibility-weighting the two indications from the</t>
  </si>
  <si>
    <t>Total Std Dev =</t>
  </si>
  <si>
    <t>indication.</t>
  </si>
  <si>
    <t>Calculate the total standard deviation of the Cape Cod method’s total loss reserve</t>
  </si>
  <si>
    <t>1.5 points</t>
  </si>
  <si>
    <r>
      <t>• Process variance/mean scale parameter (</t>
    </r>
    <r>
      <rPr>
        <sz val="12"/>
        <color theme="1"/>
        <rFont val="Calibri"/>
        <family val="2"/>
      </rPr>
      <t>σ</t>
    </r>
    <r>
      <rPr>
        <vertAlign val="superscript"/>
        <sz val="12"/>
        <color theme="1"/>
        <rFont val="Calibri"/>
        <family val="2"/>
        <scheme val="minor"/>
      </rPr>
      <t>2</t>
    </r>
    <r>
      <rPr>
        <sz val="12"/>
        <color theme="1"/>
        <rFont val="Calibri"/>
        <family val="2"/>
        <scheme val="minor"/>
      </rPr>
      <t>) for Cape Cod method:</t>
    </r>
  </si>
  <si>
    <t xml:space="preserve">• Parameter standard deviation for Cape Cod method: </t>
  </si>
  <si>
    <t>Calculate the total standard deviation, including both process and parameter variance:</t>
  </si>
  <si>
    <t>the average age in months.</t>
  </si>
  <si>
    <t xml:space="preserve">         </t>
  </si>
  <si>
    <t>where G is the cumulative proportion of ultimate losses paid and x</t>
  </si>
  <si>
    <t xml:space="preserve">            </t>
  </si>
  <si>
    <t>On-Level Prem</t>
  </si>
  <si>
    <t>On level</t>
  </si>
  <si>
    <t>Calculate the expected loss ratio based on used premium for all AYs and estimate the reserves as ELR*Prem*(1-Growth):</t>
  </si>
  <si>
    <t>Q #5</t>
  </si>
  <si>
    <t>We can reduce parameter variance by the limiting the number of parameters in our model</t>
  </si>
  <si>
    <r>
      <rPr>
        <b/>
        <sz val="12"/>
        <color theme="1"/>
        <rFont val="Calibri"/>
        <family val="2"/>
        <scheme val="minor"/>
      </rPr>
      <t>Parameter variance:</t>
    </r>
    <r>
      <rPr>
        <sz val="12"/>
        <color theme="1"/>
        <rFont val="Calibri"/>
        <family val="2"/>
        <scheme val="minor"/>
      </rPr>
      <t xml:space="preserve"> the variance due to the fact that we can't exactly estimate the parameters</t>
    </r>
  </si>
  <si>
    <r>
      <rPr>
        <b/>
        <sz val="12"/>
        <color theme="1"/>
        <rFont val="Calibri"/>
        <family val="2"/>
        <scheme val="minor"/>
      </rPr>
      <t>Process variance:</t>
    </r>
    <r>
      <rPr>
        <sz val="12"/>
        <color theme="1"/>
        <rFont val="Calibri"/>
        <family val="2"/>
        <scheme val="minor"/>
      </rPr>
      <t xml:space="preserve"> the variance due to the randomness inherent in the insurance process</t>
    </r>
  </si>
  <si>
    <t>Since the loss ratios are showing an obvious increasing pattern, there does not appear to be a constant expected loss ratio across accident years. Thus, the Cape Cod method is not appropriate.</t>
  </si>
  <si>
    <t>Theta</t>
  </si>
  <si>
    <t>reserving. Identify an approach to reduce one of the types of variance.</t>
  </si>
  <si>
    <t>Briefly describe the two types of variance associated with a statistical model for loss</t>
  </si>
  <si>
    <t>If we divide AY 2014 by AY 2015, we have 0.722 = 0.833(30 + theta)/(42 + theta); solve for theta</t>
  </si>
  <si>
    <t>Evaluate the appropriateness of using the Cape Cod method for this book of business.</t>
  </si>
  <si>
    <t>AY 2015: 553.85 = 1200(ELR)(1 - 30/(30 + theta))</t>
  </si>
  <si>
    <t>AY 2014: 400 = 1000(ELR)(1 - 42/(42 + theta))</t>
  </si>
  <si>
    <t>Calculate the expected loss ratio used in the Cape Cod method.</t>
  </si>
  <si>
    <t>Alternative solution (with algebra)</t>
  </si>
  <si>
    <t xml:space="preserve">    the average age of paid losses in months: </t>
  </si>
  <si>
    <t xml:space="preserve">    function where G is the cumulative proportion of ultimate losses paid and x represents</t>
  </si>
  <si>
    <t>•  The expected loss payment pattern is approximated by the following loglogistic</t>
  </si>
  <si>
    <t>•  The estimated reserves for all accident years are calculated using the Cape Cod method.</t>
  </si>
  <si>
    <t xml:space="preserve">Theta = </t>
  </si>
  <si>
    <t>Difference</t>
  </si>
  <si>
    <t>Estimated 
Reserves ($000)</t>
  </si>
  <si>
    <t>Cumulative Paid 
Loss ($000)</t>
  </si>
  <si>
    <t>2017</t>
  </si>
  <si>
    <t>Calculate the expected loss ratio based on used premium for all AYs. We're given the estimated reserves, so use trial-and-error to find theta that results in the same reserve.</t>
  </si>
  <si>
    <t>Given the following information for an insurer's books of business as of December 31,</t>
  </si>
  <si>
    <t>Q #6</t>
  </si>
  <si>
    <t>Spring 2018</t>
  </si>
  <si>
    <t>variance than the chain ladder method.</t>
  </si>
  <si>
    <t>Briefly describe whether the Cape Cod method typically has a higher or lower parameter</t>
  </si>
  <si>
    <t>measure.</t>
  </si>
  <si>
    <t>Briefly describe what process variance and parameter variance of the prospective losses</t>
  </si>
  <si>
    <t>The Cape Cod method has a lower parameter variance because it incorporates more information from the exposure base (i.e. premium) and it uses fewer parameters.</t>
  </si>
  <si>
    <t>Calculate the coefficient of variation of prospective losses.</t>
  </si>
  <si>
    <t>Process variance measures uncertainty from inherent randomness of the insurance process. Parameter variance measures uncertainty in the estimated parameters.</t>
  </si>
  <si>
    <t>• The parameter covariance matrix is:</t>
  </si>
  <si>
    <t>•  Process variance/mean ratio is:</t>
  </si>
  <si>
    <t>•  Estimated ELR is:</t>
  </si>
  <si>
    <t>⇽ Var(ELR*Premium) = Premium^2*Var(ELR)</t>
  </si>
  <si>
    <t>Parameter var</t>
  </si>
  <si>
    <t xml:space="preserve">•  Total premium is </t>
  </si>
  <si>
    <t xml:space="preserve"> = Expected losses * Process var/mean ratio</t>
  </si>
  <si>
    <t>Process var</t>
  </si>
  <si>
    <t>⇽ Prospective expected loss</t>
  </si>
  <si>
    <t>Expected Losses</t>
  </si>
  <si>
    <t>A Cape Cod loss reserving calculation has the following inputs and estimates:</t>
  </si>
  <si>
    <t>Spring 2019</t>
  </si>
  <si>
    <t>Clark - Finding Best-Fit Parameters with MLE (Cape Cod fitted incremental equation)</t>
  </si>
  <si>
    <t>2016 Ult =</t>
  </si>
  <si>
    <t xml:space="preserve"> = Prem * ELR * Truncated Unpaid %</t>
  </si>
  <si>
    <t>2016 Reserves =</t>
  </si>
  <si>
    <t>Calculate ultimate losses for accident year 2016 using the Cape Cod method.</t>
  </si>
  <si>
    <r>
      <t>G(x</t>
    </r>
    <r>
      <rPr>
        <vertAlign val="subscript"/>
        <sz val="12"/>
        <color theme="1"/>
        <rFont val="Calibri (Body)"/>
      </rPr>
      <t>trunc</t>
    </r>
    <r>
      <rPr>
        <sz val="12"/>
        <color theme="1"/>
        <rFont val="Calibri"/>
        <family val="2"/>
        <scheme val="minor"/>
      </rPr>
      <t xml:space="preserve">) - G(x) = </t>
    </r>
  </si>
  <si>
    <t>accident year 2018 at 12 months using the Cape Cod method.</t>
  </si>
  <si>
    <t>Calculate the incremental fitted payment and corresponding normalized residual for</t>
  </si>
  <si>
    <t>1.75 points</t>
  </si>
  <si>
    <r>
      <t xml:space="preserve">•  The scale parameter </t>
    </r>
    <r>
      <rPr>
        <sz val="12"/>
        <color theme="1"/>
        <rFont val="Calibri"/>
        <family val="2"/>
      </rPr>
      <t>σ</t>
    </r>
    <r>
      <rPr>
        <vertAlign val="superscript"/>
        <sz val="12"/>
        <color theme="1"/>
        <rFont val="Calibri"/>
        <family val="2"/>
      </rPr>
      <t>2</t>
    </r>
    <r>
      <rPr>
        <sz val="12"/>
        <color theme="1"/>
        <rFont val="Calibri"/>
        <family val="2"/>
        <scheme val="minor"/>
      </rPr>
      <t xml:space="preserve"> is</t>
    </r>
  </si>
  <si>
    <t>Truncation occurs at 120 months (avg. age of 114)</t>
  </si>
  <si>
    <t>•  Accidents occur uniformly throughout the year.</t>
  </si>
  <si>
    <t>•  There are no payments after 120 months.</t>
  </si>
  <si>
    <t xml:space="preserve">       o Ɵ = </t>
  </si>
  <si>
    <r>
      <t xml:space="preserve">       o </t>
    </r>
    <r>
      <rPr>
        <sz val="12"/>
        <color theme="1"/>
        <rFont val="Calibri"/>
        <family val="2"/>
      </rPr>
      <t>ω</t>
    </r>
    <r>
      <rPr>
        <sz val="12"/>
        <color theme="1"/>
        <rFont val="Calibri"/>
        <family val="2"/>
        <scheme val="minor"/>
      </rPr>
      <t xml:space="preserve"> = </t>
    </r>
  </si>
  <si>
    <t>&lt;-(Actual - Fitted)/sqrt(sigma^2*Fitted)</t>
  </si>
  <si>
    <t>Normalized Residual =</t>
  </si>
  <si>
    <t xml:space="preserve">     where:</t>
  </si>
  <si>
    <t xml:space="preserve">•   The expected loss payment pattern follows a loglogistic curve of the form </t>
  </si>
  <si>
    <r>
      <t xml:space="preserve"> = Prem * ELR * (G(x</t>
    </r>
    <r>
      <rPr>
        <vertAlign val="subscript"/>
        <sz val="12"/>
        <color theme="1"/>
        <rFont val="Calibri (Body)"/>
      </rPr>
      <t>k</t>
    </r>
    <r>
      <rPr>
        <sz val="12"/>
        <color theme="1"/>
        <rFont val="Calibri"/>
        <family val="2"/>
        <scheme val="minor"/>
      </rPr>
      <t>) - G(x</t>
    </r>
    <r>
      <rPr>
        <vertAlign val="subscript"/>
        <sz val="12"/>
        <color theme="1"/>
        <rFont val="Calibri (Body)"/>
      </rPr>
      <t>k-1</t>
    </r>
    <r>
      <rPr>
        <sz val="12"/>
        <color theme="1"/>
        <rFont val="Calibri"/>
        <family val="2"/>
        <scheme val="minor"/>
      </rPr>
      <t>))</t>
    </r>
  </si>
  <si>
    <t>Fitted Incremental for 2018 at 12</t>
  </si>
  <si>
    <t>Cumulative Paid Loss ($000,000)
 as of (months)</t>
  </si>
  <si>
    <t>On-Level 
Earned Premium ($000,000)</t>
  </si>
  <si>
    <t>Accident
 Year</t>
  </si>
  <si>
    <t>OLP * Growth</t>
  </si>
  <si>
    <t>Given the following information as of December 31, 2018:</t>
  </si>
  <si>
    <t>ii. The weighted average loss development method ignores volatility in the tail which reduces variability of ultimate losses</t>
  </si>
  <si>
    <t>i. The Clark Cape Cod method uses an exposure base and less parameters which reduces variability  of ultimate losses</t>
  </si>
  <si>
    <t>ii. Loss development method using weighted averages of the development factors.</t>
  </si>
  <si>
    <t>i. Clark Cape Cod method using a curve fit to derive the emerged percentages.</t>
  </si>
  <si>
    <t>2. Weighted average methods are better because they are simpler to calculate</t>
  </si>
  <si>
    <t>development method using a curve fit to derive the emerged percentages:</t>
  </si>
  <si>
    <t>scenarios below are narrower than the standard deviation of the ultimate loss for the loss</t>
  </si>
  <si>
    <t>Briefly explain why the standard deviations of the ultimate losses for each of the</t>
  </si>
  <si>
    <t>1. Curve-fitting methods are better because they provide estimates of development after the end of available data</t>
  </si>
  <si>
    <t>other for estimating the payment pattern.</t>
  </si>
  <si>
    <t>Identify one reason why each of the methods in part a. above might be better than the</t>
  </si>
  <si>
    <t>produce a higher mean estimate of ultimate losses than a weighted average method.</t>
  </si>
  <si>
    <t>Curves naturally create a tail factor by going from 0% to 100% emergence whereas weighted average methods cannot produce factors past the triangles where no data exist.  This tail factor produces a higher mean estimate for the curve-fitting method</t>
  </si>
  <si>
    <t>Briefly explain when a curve-fitting method for selecting loss emergence patterns will</t>
  </si>
  <si>
    <t>0.25 point</t>
  </si>
  <si>
    <t>Q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</si>
</sst>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_);[Red]\(&quot;$&quot;#,##0\)"/>
    <numFmt numFmtId="8" formatCode="&quot;$&quot;#,##0.00_);[Red]\(&quot;$&quot;#,##0.00\)"/>
    <numFmt numFmtId="43" formatCode="_(* #,##0.00_);_(* \(#,##0.00\);_(* &quot;-&quot;??_);_(@_)"/>
    <numFmt numFmtId="164" formatCode="0.000"/>
    <numFmt numFmtId="165" formatCode="0.0%"/>
    <numFmt numFmtId="166" formatCode="_-* #,##0_-;\-* #,##0_-;_-* &quot;-&quot;??_-;_-@"/>
    <numFmt numFmtId="167" formatCode="_-* #,##0.00_-;\-* #,##0.00_-;_-* &quot;-&quot;??_-;_-@"/>
    <numFmt numFmtId="168" formatCode="#,##0.0"/>
    <numFmt numFmtId="169" formatCode="_(* #,##0.0_);_(* \(#,##0.0\);_(* &quot;-&quot;??_);_(@_)"/>
    <numFmt numFmtId="170" formatCode="_(* #,##0_);_(* \(#,##0\);_(* &quot;-&quot;??_);_(@_)"/>
    <numFmt numFmtId="171" formatCode="0.000E+00"/>
    <numFmt numFmtId="172" formatCode="#,##0.000"/>
    <numFmt numFmtId="173" formatCode="_(* #,##0.000_);_(* \(#,##0.000\);_(* &quot;-&quot;??_);_(@_)"/>
    <numFmt numFmtId="174" formatCode="[$$-409]#,##0"/>
    <numFmt numFmtId="175" formatCode="&quot;$&quot;#,##0"/>
    <numFmt numFmtId="176" formatCode="#,000"/>
    <numFmt numFmtId="177" formatCode="#,#00"/>
    <numFmt numFmtId="178" formatCode="0.0"/>
    <numFmt numFmtId="179" formatCode="0.0000"/>
    <numFmt numFmtId="180" formatCode="0.0000E+00"/>
    <numFmt numFmtId="181" formatCode="0.00&quot; (000's)&quot;"/>
  </numFmts>
  <fonts count="40" x14ac:knownFonts="1">
    <font>
      <sz val="12"/>
      <color theme="1"/>
      <name val="Calibri"/>
      <family val="2"/>
      <scheme val="minor"/>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scheme val="minor"/>
    </font>
    <font>
      <b/>
      <sz val="14"/>
      <color theme="1"/>
      <name val="Calibri"/>
      <family val="2"/>
    </font>
    <font>
      <sz val="12"/>
      <color rgb="FFFF0000"/>
      <name val="Calibri"/>
      <family val="2"/>
    </font>
    <font>
      <b/>
      <u/>
      <sz val="12"/>
      <color theme="1"/>
      <name val="Calibri"/>
      <family val="2"/>
    </font>
    <font>
      <sz val="11"/>
      <color theme="1"/>
      <name val="Calibri"/>
      <family val="2"/>
    </font>
    <font>
      <u/>
      <sz val="12"/>
      <color theme="1"/>
      <name val="Calibri"/>
      <family val="2"/>
    </font>
    <font>
      <sz val="12"/>
      <color rgb="FF000000"/>
      <name val="Calibri"/>
      <family val="2"/>
    </font>
    <font>
      <b/>
      <sz val="12"/>
      <color theme="1"/>
      <name val="Calibri"/>
      <family val="2"/>
    </font>
    <font>
      <b/>
      <sz val="12"/>
      <color rgb="FF000000"/>
      <name val="Calibri"/>
      <family val="2"/>
    </font>
    <font>
      <i/>
      <sz val="12"/>
      <color rgb="FF000000"/>
      <name val="Calibri"/>
      <family val="2"/>
    </font>
    <font>
      <vertAlign val="subscript"/>
      <sz val="12"/>
      <color rgb="FF000000"/>
      <name val="Calibri"/>
      <family val="2"/>
    </font>
    <font>
      <sz val="11"/>
      <color theme="1"/>
      <name val="Calibri"/>
      <family val="2"/>
      <scheme val="minor"/>
    </font>
    <font>
      <u/>
      <sz val="12"/>
      <color theme="10"/>
      <name val="Calibri"/>
      <family val="2"/>
    </font>
    <font>
      <b/>
      <sz val="16"/>
      <color theme="1"/>
      <name val="Calibri"/>
      <family val="2"/>
    </font>
    <font>
      <u/>
      <sz val="14"/>
      <color theme="1"/>
      <name val="Calibri"/>
      <family val="2"/>
    </font>
    <font>
      <b/>
      <sz val="14"/>
      <color theme="1"/>
      <name val="Calibri"/>
      <family val="2"/>
      <scheme val="minor"/>
    </font>
    <font>
      <i/>
      <sz val="12"/>
      <color theme="1"/>
      <name val="Calibri"/>
      <family val="2"/>
      <scheme val="minor"/>
    </font>
    <font>
      <b/>
      <sz val="12"/>
      <color theme="1"/>
      <name val="Calibri"/>
      <family val="2"/>
      <scheme val="minor"/>
    </font>
    <font>
      <b/>
      <u/>
      <sz val="12"/>
      <color theme="1"/>
      <name val="Calibri (Body)"/>
    </font>
    <font>
      <i/>
      <u/>
      <sz val="12"/>
      <color theme="1"/>
      <name val="Calibri (Body)"/>
    </font>
    <font>
      <sz val="12"/>
      <color theme="1"/>
      <name val="Calibri (Body)"/>
    </font>
    <font>
      <u/>
      <sz val="12"/>
      <color theme="1"/>
      <name val="Calibri"/>
      <family val="2"/>
      <scheme val="minor"/>
    </font>
    <font>
      <b/>
      <i/>
      <sz val="12"/>
      <color theme="1"/>
      <name val="Calibri"/>
      <family val="2"/>
      <scheme val="minor"/>
    </font>
    <font>
      <sz val="12"/>
      <color rgb="FF000000"/>
      <name val="Calibri"/>
      <family val="2"/>
      <scheme val="minor"/>
    </font>
    <font>
      <b/>
      <sz val="12"/>
      <color rgb="FF000000"/>
      <name val="Calibri"/>
      <family val="2"/>
      <scheme val="minor"/>
    </font>
    <font>
      <vertAlign val="superscript"/>
      <sz val="12"/>
      <color theme="1"/>
      <name val="Calibri"/>
      <family val="2"/>
    </font>
    <font>
      <vertAlign val="subscript"/>
      <sz val="12"/>
      <color theme="1"/>
      <name val="Calibri (Body)"/>
    </font>
    <font>
      <sz val="12"/>
      <color theme="1"/>
      <name val="Calibri"/>
      <family val="1"/>
      <charset val="2"/>
    </font>
    <font>
      <sz val="12"/>
      <color theme="1"/>
      <name val="Symbol"/>
      <family val="1"/>
      <charset val="2"/>
    </font>
    <font>
      <vertAlign val="subscript"/>
      <sz val="12"/>
      <color theme="1"/>
      <name val="Calibri"/>
      <family val="2"/>
      <scheme val="minor"/>
    </font>
    <font>
      <i/>
      <sz val="12"/>
      <color theme="1"/>
      <name val="Calibri"/>
      <family val="2"/>
    </font>
    <font>
      <sz val="11"/>
      <color rgb="FF000000"/>
      <name val="Adobe Caslon Pro"/>
    </font>
    <font>
      <vertAlign val="superscript"/>
      <sz val="12"/>
      <color theme="1"/>
      <name val="Calibri (Body)"/>
    </font>
    <font>
      <vertAlign val="superscript"/>
      <sz val="12"/>
      <color theme="1"/>
      <name val="Calibri"/>
      <family val="2"/>
      <scheme val="minor"/>
    </font>
    <font>
      <u/>
      <sz val="14"/>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2F2F2"/>
        <bgColor rgb="FF000000"/>
      </patternFill>
    </fill>
    <fill>
      <patternFill patternType="solid">
        <fgColor theme="0" tint="-4.9989318521683403E-2"/>
        <bgColor rgb="FF000000"/>
      </patternFill>
    </fill>
    <fill>
      <patternFill patternType="solid">
        <fgColor rgb="FFFFC000"/>
        <bgColor indexed="64"/>
      </patternFill>
    </fill>
  </fills>
  <borders count="33">
    <border>
      <left/>
      <right/>
      <top/>
      <bottom/>
      <diagonal/>
    </border>
    <border>
      <left style="medium">
        <color indexed="64"/>
      </left>
      <right/>
      <top/>
      <bottom/>
      <diagonal/>
    </border>
    <border>
      <left/>
      <right style="medium">
        <color indexed="64"/>
      </right>
      <top/>
      <bottom/>
      <diagonal/>
    </border>
    <border>
      <left/>
      <right/>
      <top/>
      <bottom style="thin">
        <color rgb="FF000000"/>
      </bottom>
      <diagonal/>
    </border>
    <border>
      <left/>
      <right/>
      <top style="thin">
        <color rgb="FF000000"/>
      </top>
      <bottom/>
      <diagonal/>
    </border>
    <border>
      <left/>
      <right style="thin">
        <color rgb="FF000000"/>
      </right>
      <top/>
      <bottom style="thin">
        <color rgb="FF000000"/>
      </bottom>
      <diagonal/>
    </border>
    <border>
      <left/>
      <right style="thin">
        <color rgb="FF000000"/>
      </right>
      <top/>
      <bottom/>
      <diagonal/>
    </border>
    <border>
      <left/>
      <right style="thin">
        <color auto="1"/>
      </right>
      <top/>
      <bottom style="thin">
        <color rgb="FF000000"/>
      </bottom>
      <diagonal/>
    </border>
    <border>
      <left/>
      <right style="thin">
        <color auto="1"/>
      </right>
      <top/>
      <bottom/>
      <diagonal/>
    </border>
    <border>
      <left/>
      <right style="thin">
        <color auto="1"/>
      </right>
      <top/>
      <bottom style="thin">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rgb="FF000000"/>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6">
    <xf numFmtId="0" fontId="0" fillId="0" borderId="0"/>
    <xf numFmtId="43" fontId="5" fillId="0" borderId="0" applyFont="0" applyFill="0" applyBorder="0" applyAlignment="0" applyProtection="0"/>
    <xf numFmtId="9" fontId="5" fillId="0" borderId="0" applyFont="0" applyFill="0" applyBorder="0" applyAlignment="0" applyProtection="0"/>
    <xf numFmtId="0" fontId="16" fillId="0" borderId="0"/>
    <xf numFmtId="0" fontId="2" fillId="0" borderId="0"/>
    <xf numFmtId="0" fontId="17" fillId="0" borderId="0" applyNumberFormat="0" applyFill="0" applyBorder="0" applyAlignment="0" applyProtection="0"/>
  </cellStyleXfs>
  <cellXfs count="484">
    <xf numFmtId="0" fontId="0" fillId="0" borderId="0" xfId="0"/>
    <xf numFmtId="0" fontId="6" fillId="2" borderId="1" xfId="0" applyFont="1" applyFill="1" applyBorder="1"/>
    <xf numFmtId="2" fontId="7" fillId="2" borderId="1" xfId="0" applyNumberFormat="1" applyFont="1" applyFill="1" applyBorder="1" applyAlignment="1">
      <alignment horizontal="left"/>
    </xf>
    <xf numFmtId="0" fontId="6" fillId="0" borderId="0" xfId="0" applyFont="1"/>
    <xf numFmtId="0" fontId="8" fillId="0" borderId="0" xfId="0" applyFont="1"/>
    <xf numFmtId="0" fontId="9" fillId="0" borderId="0" xfId="0" applyFont="1"/>
    <xf numFmtId="0" fontId="11" fillId="2" borderId="0" xfId="0" applyFont="1" applyFill="1" applyAlignment="1">
      <alignment horizontal="center" vertical="center" wrapText="1"/>
    </xf>
    <xf numFmtId="0" fontId="12" fillId="0" borderId="0" xfId="0" applyFont="1"/>
    <xf numFmtId="166" fontId="13" fillId="0" borderId="0" xfId="0" applyNumberFormat="1" applyFont="1"/>
    <xf numFmtId="0" fontId="13" fillId="0" borderId="0" xfId="0" applyFont="1"/>
    <xf numFmtId="0" fontId="11" fillId="2" borderId="8" xfId="0" applyFont="1" applyFill="1" applyBorder="1" applyAlignment="1">
      <alignment horizontal="center" vertical="center" wrapText="1"/>
    </xf>
    <xf numFmtId="0" fontId="11" fillId="2" borderId="9" xfId="0" applyFont="1" applyFill="1" applyBorder="1" applyAlignment="1">
      <alignment horizontal="center" wrapText="1"/>
    </xf>
    <xf numFmtId="0" fontId="11" fillId="2" borderId="10" xfId="0" applyFont="1" applyFill="1" applyBorder="1" applyAlignment="1">
      <alignment horizontal="center" wrapText="1"/>
    </xf>
    <xf numFmtId="165" fontId="12" fillId="0" borderId="0" xfId="2" applyNumberFormat="1" applyFont="1"/>
    <xf numFmtId="3" fontId="11" fillId="2" borderId="0" xfId="0" applyNumberFormat="1" applyFont="1" applyFill="1" applyAlignment="1">
      <alignment horizontal="center" vertical="center" wrapText="1"/>
    </xf>
    <xf numFmtId="164" fontId="11" fillId="0" borderId="0" xfId="0" applyNumberFormat="1" applyFont="1" applyAlignment="1">
      <alignment horizontal="center" vertical="center"/>
    </xf>
    <xf numFmtId="166" fontId="11" fillId="0" borderId="0" xfId="0" applyNumberFormat="1" applyFont="1"/>
    <xf numFmtId="0" fontId="11" fillId="2" borderId="0" xfId="0" applyFont="1" applyFill="1" applyAlignment="1">
      <alignment horizontal="center" vertical="top" wrapText="1"/>
    </xf>
    <xf numFmtId="168" fontId="11" fillId="2" borderId="0" xfId="0" applyNumberFormat="1" applyFont="1" applyFill="1" applyAlignment="1">
      <alignment horizontal="center" vertical="center" wrapText="1"/>
    </xf>
    <xf numFmtId="0" fontId="12" fillId="2" borderId="11" xfId="0" applyFont="1" applyFill="1" applyBorder="1" applyAlignment="1">
      <alignment horizontal="center" vertical="center"/>
    </xf>
    <xf numFmtId="0" fontId="12" fillId="2" borderId="0" xfId="0" applyFont="1" applyFill="1" applyAlignment="1">
      <alignment horizontal="center" vertical="center"/>
    </xf>
    <xf numFmtId="165" fontId="11" fillId="2" borderId="0" xfId="0" applyNumberFormat="1" applyFont="1" applyFill="1" applyAlignment="1">
      <alignment horizontal="center" vertical="center" wrapText="1"/>
    </xf>
    <xf numFmtId="0" fontId="11" fillId="2" borderId="10" xfId="0" applyFont="1" applyFill="1" applyBorder="1" applyAlignment="1">
      <alignment horizontal="center" vertical="center" wrapText="1"/>
    </xf>
    <xf numFmtId="3" fontId="11" fillId="2" borderId="10" xfId="0"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3" fontId="11" fillId="2" borderId="8" xfId="0" applyNumberFormat="1" applyFont="1" applyFill="1" applyBorder="1" applyAlignment="1">
      <alignment horizontal="center" vertical="center" wrapText="1"/>
    </xf>
    <xf numFmtId="3" fontId="11" fillId="2" borderId="9" xfId="0" applyNumberFormat="1" applyFont="1" applyFill="1" applyBorder="1" applyAlignment="1">
      <alignment horizontal="center" vertical="center" wrapText="1"/>
    </xf>
    <xf numFmtId="0" fontId="14" fillId="2" borderId="9" xfId="0" applyFont="1" applyFill="1" applyBorder="1" applyAlignment="1">
      <alignment horizontal="center" vertical="center" wrapText="1"/>
    </xf>
    <xf numFmtId="0" fontId="11" fillId="2" borderId="8" xfId="0" applyFont="1" applyFill="1" applyBorder="1" applyAlignment="1">
      <alignment horizontal="center" vertical="top"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0" fontId="4" fillId="2" borderId="11" xfId="0" applyFont="1" applyFill="1" applyBorder="1" applyAlignment="1">
      <alignment horizontal="center" vertical="center"/>
    </xf>
    <xf numFmtId="0" fontId="4" fillId="2" borderId="0" xfId="0" applyFont="1" applyFill="1"/>
    <xf numFmtId="0" fontId="4" fillId="2" borderId="2" xfId="0" applyFont="1" applyFill="1" applyBorder="1"/>
    <xf numFmtId="0" fontId="4" fillId="0" borderId="0" xfId="0" applyFont="1"/>
    <xf numFmtId="0" fontId="4" fillId="2" borderId="0" xfId="0" applyFont="1" applyFill="1" applyAlignment="1">
      <alignment horizontal="center" vertical="center"/>
    </xf>
    <xf numFmtId="164" fontId="4" fillId="0" borderId="0" xfId="0" applyNumberFormat="1" applyFont="1"/>
    <xf numFmtId="0" fontId="4" fillId="0" borderId="7" xfId="0" applyFont="1" applyBorder="1" applyAlignment="1">
      <alignment horizontal="center"/>
    </xf>
    <xf numFmtId="0" fontId="4" fillId="0" borderId="3" xfId="0" applyFont="1" applyBorder="1" applyAlignment="1">
      <alignment horizontal="center"/>
    </xf>
    <xf numFmtId="0" fontId="4" fillId="0" borderId="3" xfId="0" applyFont="1" applyBorder="1" applyAlignment="1">
      <alignment horizontal="center" wrapText="1"/>
    </xf>
    <xf numFmtId="0" fontId="4" fillId="0" borderId="8" xfId="0" applyFont="1" applyBorder="1" applyAlignment="1">
      <alignment horizontal="center"/>
    </xf>
    <xf numFmtId="0" fontId="4" fillId="0" borderId="0" xfId="0" applyFont="1" applyAlignment="1">
      <alignment horizontal="center"/>
    </xf>
    <xf numFmtId="165" fontId="4" fillId="0" borderId="0" xfId="0" applyNumberFormat="1" applyFont="1"/>
    <xf numFmtId="164" fontId="4" fillId="0" borderId="0" xfId="0" applyNumberFormat="1" applyFont="1" applyAlignment="1">
      <alignment horizontal="right"/>
    </xf>
    <xf numFmtId="3" fontId="4" fillId="0" borderId="0" xfId="0" applyNumberFormat="1" applyFont="1"/>
    <xf numFmtId="166" fontId="4" fillId="0" borderId="4" xfId="0" applyNumberFormat="1" applyFont="1" applyBorder="1"/>
    <xf numFmtId="166" fontId="4" fillId="0" borderId="0" xfId="0" applyNumberFormat="1" applyFont="1"/>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165" fontId="4" fillId="0" borderId="10" xfId="0" applyNumberFormat="1" applyFont="1" applyBorder="1" applyAlignment="1">
      <alignment vertical="center"/>
    </xf>
    <xf numFmtId="164" fontId="4" fillId="0" borderId="10" xfId="0" applyNumberFormat="1" applyFont="1" applyBorder="1" applyAlignment="1">
      <alignment horizontal="right" vertical="center"/>
    </xf>
    <xf numFmtId="3" fontId="4" fillId="0" borderId="10" xfId="0" applyNumberFormat="1" applyFont="1" applyBorder="1" applyAlignment="1">
      <alignment vertical="center"/>
    </xf>
    <xf numFmtId="166" fontId="4" fillId="0" borderId="10" xfId="0" applyNumberFormat="1" applyFont="1" applyBorder="1" applyAlignment="1">
      <alignment vertical="center"/>
    </xf>
    <xf numFmtId="166" fontId="4" fillId="0" borderId="3" xfId="0" applyNumberFormat="1" applyFont="1" applyBorder="1" applyAlignment="1">
      <alignment vertical="center"/>
    </xf>
    <xf numFmtId="0" fontId="4" fillId="0" borderId="8" xfId="0" applyFont="1" applyBorder="1"/>
    <xf numFmtId="0" fontId="4" fillId="0" borderId="5" xfId="0" applyFont="1" applyBorder="1" applyAlignment="1">
      <alignment horizontal="center"/>
    </xf>
    <xf numFmtId="0" fontId="11" fillId="0" borderId="9" xfId="0" applyFont="1" applyBorder="1" applyAlignment="1">
      <alignment horizontal="center" wrapText="1"/>
    </xf>
    <xf numFmtId="0" fontId="11" fillId="0" borderId="10" xfId="0" applyFont="1" applyBorder="1" applyAlignment="1">
      <alignment horizontal="center" wrapText="1"/>
    </xf>
    <xf numFmtId="0" fontId="4" fillId="2" borderId="0" xfId="0" applyFont="1" applyFill="1" applyAlignment="1">
      <alignment horizontal="right"/>
    </xf>
    <xf numFmtId="0" fontId="4" fillId="2" borderId="0" xfId="0" applyFont="1" applyFill="1" applyAlignment="1">
      <alignment horizontal="center"/>
    </xf>
    <xf numFmtId="0" fontId="4" fillId="0" borderId="6" xfId="0" applyFont="1" applyBorder="1" applyAlignment="1">
      <alignment horizontal="center"/>
    </xf>
    <xf numFmtId="166" fontId="4" fillId="0" borderId="0" xfId="0" applyNumberFormat="1" applyFont="1" applyAlignment="1">
      <alignment horizontal="center"/>
    </xf>
    <xf numFmtId="6" fontId="4" fillId="2" borderId="0" xfId="0" applyNumberFormat="1" applyFont="1" applyFill="1"/>
    <xf numFmtId="0" fontId="4" fillId="0" borderId="3" xfId="0" applyFont="1" applyBorder="1"/>
    <xf numFmtId="167" fontId="4" fillId="0" borderId="0" xfId="0" applyNumberFormat="1" applyFont="1"/>
    <xf numFmtId="0" fontId="4" fillId="0" borderId="0" xfId="0" quotePrefix="1" applyFont="1"/>
    <xf numFmtId="168" fontId="4" fillId="0" borderId="0" xfId="0" applyNumberFormat="1" applyFont="1"/>
    <xf numFmtId="170" fontId="4" fillId="0" borderId="0" xfId="0" applyNumberFormat="1" applyFont="1"/>
    <xf numFmtId="0" fontId="4" fillId="2" borderId="10" xfId="0" applyFont="1" applyFill="1" applyBorder="1" applyAlignment="1">
      <alignment horizontal="center" wrapText="1"/>
    </xf>
    <xf numFmtId="168" fontId="4" fillId="2" borderId="0" xfId="0" applyNumberFormat="1" applyFont="1" applyFill="1"/>
    <xf numFmtId="168" fontId="4" fillId="2" borderId="0" xfId="0" applyNumberFormat="1" applyFont="1" applyFill="1" applyAlignment="1">
      <alignment horizontal="center"/>
    </xf>
    <xf numFmtId="0" fontId="4" fillId="0" borderId="8" xfId="0" applyFont="1" applyBorder="1" applyAlignment="1">
      <alignment horizontal="center" vertical="center"/>
    </xf>
    <xf numFmtId="0" fontId="4" fillId="0" borderId="0" xfId="0" applyFont="1" applyAlignment="1">
      <alignment horizontal="center" vertical="center"/>
    </xf>
    <xf numFmtId="165" fontId="4" fillId="0" borderId="0" xfId="0" applyNumberFormat="1" applyFont="1" applyAlignment="1">
      <alignment vertical="center"/>
    </xf>
    <xf numFmtId="0" fontId="4" fillId="0" borderId="9" xfId="0" applyFont="1" applyBorder="1" applyAlignment="1">
      <alignment horizontal="center"/>
    </xf>
    <xf numFmtId="0" fontId="4" fillId="0" borderId="10" xfId="0" applyFont="1" applyBorder="1" applyAlignment="1">
      <alignment horizontal="center"/>
    </xf>
    <xf numFmtId="165" fontId="4" fillId="0" borderId="10" xfId="0" applyNumberFormat="1" applyFont="1" applyBorder="1"/>
    <xf numFmtId="0" fontId="4" fillId="0" borderId="10" xfId="0" applyFont="1" applyBorder="1"/>
    <xf numFmtId="3" fontId="10" fillId="0" borderId="0" xfId="0" applyNumberFormat="1" applyFont="1"/>
    <xf numFmtId="3" fontId="12" fillId="0" borderId="0" xfId="0" applyNumberFormat="1" applyFont="1"/>
    <xf numFmtId="170" fontId="4" fillId="0" borderId="0" xfId="1" applyNumberFormat="1" applyFont="1"/>
    <xf numFmtId="0" fontId="4" fillId="0" borderId="0" xfId="0" applyFont="1" applyAlignment="1">
      <alignment wrapText="1"/>
    </xf>
    <xf numFmtId="0" fontId="4" fillId="2" borderId="11" xfId="0" applyFont="1" applyFill="1" applyBorder="1"/>
    <xf numFmtId="0" fontId="4" fillId="2" borderId="15" xfId="0" applyFont="1" applyFill="1" applyBorder="1"/>
    <xf numFmtId="0" fontId="4" fillId="2" borderId="1" xfId="0" applyFont="1" applyFill="1" applyBorder="1"/>
    <xf numFmtId="0" fontId="4" fillId="0" borderId="0" xfId="0" applyFont="1" applyAlignment="1">
      <alignment horizontal="left"/>
    </xf>
    <xf numFmtId="3" fontId="4" fillId="2" borderId="0" xfId="0" applyNumberFormat="1" applyFont="1" applyFill="1" applyAlignment="1">
      <alignment horizontal="center"/>
    </xf>
    <xf numFmtId="170" fontId="4" fillId="0" borderId="0" xfId="1" applyNumberFormat="1" applyFont="1" applyAlignment="1">
      <alignment horizontal="right"/>
    </xf>
    <xf numFmtId="170" fontId="4" fillId="0" borderId="0" xfId="1" applyNumberFormat="1" applyFont="1" applyAlignment="1">
      <alignment vertical="center"/>
    </xf>
    <xf numFmtId="170" fontId="4" fillId="0" borderId="0" xfId="1" applyNumberFormat="1" applyFont="1" applyAlignment="1">
      <alignment horizontal="right" vertical="center"/>
    </xf>
    <xf numFmtId="166" fontId="4" fillId="0" borderId="0" xfId="0" applyNumberFormat="1" applyFont="1" applyAlignment="1">
      <alignment vertical="center"/>
    </xf>
    <xf numFmtId="170" fontId="4" fillId="0" borderId="10" xfId="1" applyNumberFormat="1" applyFont="1" applyBorder="1"/>
    <xf numFmtId="170" fontId="4" fillId="0" borderId="10" xfId="1" applyNumberFormat="1" applyFont="1" applyBorder="1" applyAlignment="1">
      <alignment horizontal="right"/>
    </xf>
    <xf numFmtId="166" fontId="4" fillId="0" borderId="3" xfId="0" applyNumberFormat="1" applyFont="1" applyBorder="1"/>
    <xf numFmtId="0" fontId="4" fillId="0" borderId="0" xfId="0" applyFont="1" applyAlignment="1">
      <alignment horizontal="right"/>
    </xf>
    <xf numFmtId="0" fontId="4" fillId="2" borderId="0" xfId="0" quotePrefix="1" applyFont="1" applyFill="1"/>
    <xf numFmtId="164" fontId="4" fillId="0" borderId="10" xfId="0" applyNumberFormat="1" applyFont="1" applyBorder="1" applyAlignment="1">
      <alignment horizontal="right"/>
    </xf>
    <xf numFmtId="3" fontId="4" fillId="0" borderId="10" xfId="0" applyNumberFormat="1" applyFont="1" applyBorder="1"/>
    <xf numFmtId="166" fontId="4" fillId="0" borderId="10" xfId="0" applyNumberFormat="1" applyFont="1" applyBorder="1"/>
    <xf numFmtId="0" fontId="4" fillId="0" borderId="0" xfId="0" applyFont="1" applyAlignment="1">
      <alignment horizontal="center" wrapText="1"/>
    </xf>
    <xf numFmtId="3" fontId="4" fillId="0" borderId="0" xfId="0" applyNumberFormat="1" applyFont="1" applyAlignment="1">
      <alignment vertical="center"/>
    </xf>
    <xf numFmtId="171" fontId="4" fillId="0" borderId="0" xfId="0" applyNumberFormat="1" applyFont="1"/>
    <xf numFmtId="0" fontId="4" fillId="2" borderId="9" xfId="0" applyFont="1" applyFill="1" applyBorder="1"/>
    <xf numFmtId="0" fontId="4" fillId="2" borderId="10" xfId="0" applyFont="1" applyFill="1" applyBorder="1" applyAlignment="1">
      <alignment horizontal="center"/>
    </xf>
    <xf numFmtId="0" fontId="4" fillId="2" borderId="8" xfId="0" applyFont="1" applyFill="1" applyBorder="1" applyAlignment="1">
      <alignment horizontal="center"/>
    </xf>
    <xf numFmtId="0" fontId="11" fillId="4" borderId="0" xfId="0" applyFont="1" applyFill="1"/>
    <xf numFmtId="0" fontId="11" fillId="3" borderId="0" xfId="0" applyFont="1" applyFill="1"/>
    <xf numFmtId="166" fontId="4" fillId="0" borderId="4" xfId="0" applyNumberFormat="1" applyFont="1" applyBorder="1" applyAlignment="1">
      <alignment vertical="center"/>
    </xf>
    <xf numFmtId="4" fontId="4" fillId="0" borderId="0" xfId="0" applyNumberFormat="1" applyFont="1"/>
    <xf numFmtId="169" fontId="4" fillId="0" borderId="0" xfId="1" applyNumberFormat="1" applyFont="1"/>
    <xf numFmtId="0" fontId="3" fillId="0" borderId="0" xfId="0" applyFont="1"/>
    <xf numFmtId="0" fontId="3" fillId="0" borderId="12" xfId="0" applyFont="1" applyBorder="1"/>
    <xf numFmtId="165" fontId="3" fillId="0" borderId="14" xfId="2" applyNumberFormat="1" applyFont="1" applyBorder="1"/>
    <xf numFmtId="0" fontId="3" fillId="0" borderId="13" xfId="0" applyFont="1" applyBorder="1"/>
    <xf numFmtId="170" fontId="3" fillId="0" borderId="14" xfId="1" applyNumberFormat="1" applyFont="1" applyBorder="1"/>
    <xf numFmtId="169" fontId="3" fillId="0" borderId="14" xfId="1" applyNumberFormat="1" applyFont="1" applyBorder="1"/>
    <xf numFmtId="0" fontId="3" fillId="2" borderId="0" xfId="0" applyFont="1" applyFill="1"/>
    <xf numFmtId="0" fontId="3" fillId="2" borderId="0" xfId="0" quotePrefix="1" applyFont="1" applyFill="1"/>
    <xf numFmtId="0" fontId="3" fillId="0" borderId="0" xfId="0" applyFont="1" applyAlignment="1">
      <alignment horizontal="center"/>
    </xf>
    <xf numFmtId="0" fontId="11" fillId="0" borderId="8" xfId="0" applyFont="1" applyBorder="1" applyAlignment="1">
      <alignment horizontal="center" vertical="center"/>
    </xf>
    <xf numFmtId="0" fontId="3" fillId="0" borderId="12" xfId="0" applyFont="1" applyBorder="1" applyAlignment="1">
      <alignment horizontal="center"/>
    </xf>
    <xf numFmtId="165" fontId="3" fillId="0" borderId="14" xfId="2" applyNumberFormat="1" applyFont="1" applyBorder="1" applyAlignment="1">
      <alignment horizontal="center"/>
    </xf>
    <xf numFmtId="0" fontId="12" fillId="0" borderId="7" xfId="0" applyFont="1" applyBorder="1" applyAlignment="1">
      <alignment horizontal="center" wrapText="1"/>
    </xf>
    <xf numFmtId="166" fontId="12" fillId="0" borderId="16" xfId="0" applyNumberFormat="1" applyFont="1" applyBorder="1"/>
    <xf numFmtId="166" fontId="12" fillId="0" borderId="8" xfId="0" applyNumberFormat="1" applyFont="1" applyBorder="1" applyAlignment="1">
      <alignment vertical="center"/>
    </xf>
    <xf numFmtId="166" fontId="12" fillId="0" borderId="9" xfId="0" applyNumberFormat="1" applyFont="1" applyBorder="1"/>
    <xf numFmtId="3" fontId="12" fillId="0" borderId="8" xfId="0" applyNumberFormat="1" applyFont="1" applyBorder="1"/>
    <xf numFmtId="0" fontId="4" fillId="0" borderId="12" xfId="0" applyFont="1" applyBorder="1"/>
    <xf numFmtId="0" fontId="4" fillId="0" borderId="13" xfId="0" applyFont="1" applyBorder="1"/>
    <xf numFmtId="170" fontId="4" fillId="0" borderId="14" xfId="0" applyNumberFormat="1" applyFont="1" applyBorder="1"/>
    <xf numFmtId="0" fontId="2" fillId="0" borderId="17" xfId="3" applyFont="1" applyBorder="1" applyAlignment="1">
      <alignment horizontal="center" vertical="center"/>
    </xf>
    <xf numFmtId="0" fontId="2" fillId="0" borderId="11" xfId="3" applyFont="1" applyBorder="1" applyAlignment="1">
      <alignment vertical="center" wrapText="1"/>
    </xf>
    <xf numFmtId="0" fontId="12" fillId="0" borderId="11" xfId="3" applyFont="1" applyBorder="1" applyAlignment="1">
      <alignment horizontal="center" vertical="center"/>
    </xf>
    <xf numFmtId="0" fontId="2" fillId="0" borderId="15" xfId="3" applyFont="1" applyBorder="1" applyAlignment="1">
      <alignment horizontal="center" vertical="center"/>
    </xf>
    <xf numFmtId="0" fontId="2" fillId="0" borderId="0" xfId="3" applyFont="1" applyAlignment="1">
      <alignment horizontal="center" vertical="center"/>
    </xf>
    <xf numFmtId="0" fontId="2" fillId="0" borderId="1" xfId="4" applyBorder="1"/>
    <xf numFmtId="0" fontId="2" fillId="0" borderId="0" xfId="4"/>
    <xf numFmtId="0" fontId="2" fillId="0" borderId="2" xfId="4" applyBorder="1"/>
    <xf numFmtId="0" fontId="17" fillId="0" borderId="0" xfId="5" applyBorder="1"/>
    <xf numFmtId="0" fontId="18" fillId="0" borderId="0" xfId="4" applyFont="1"/>
    <xf numFmtId="0" fontId="2" fillId="0" borderId="0" xfId="4" applyAlignment="1">
      <alignment horizontal="left" vertical="top"/>
    </xf>
    <xf numFmtId="0" fontId="19" fillId="0" borderId="0" xfId="4" applyFont="1"/>
    <xf numFmtId="0" fontId="7" fillId="0" borderId="0" xfId="4" applyFont="1" applyAlignment="1">
      <alignment horizontal="left" vertical="top"/>
    </xf>
    <xf numFmtId="0" fontId="2" fillId="0" borderId="18" xfId="3" applyFont="1" applyBorder="1" applyAlignment="1">
      <alignment horizontal="center" vertical="center"/>
    </xf>
    <xf numFmtId="0" fontId="2" fillId="0" borderId="19" xfId="3" applyFont="1" applyBorder="1" applyAlignment="1">
      <alignment horizontal="center" vertical="center"/>
    </xf>
    <xf numFmtId="0" fontId="2" fillId="0" borderId="20" xfId="3" applyFont="1" applyBorder="1" applyAlignment="1">
      <alignment horizontal="center" vertical="center"/>
    </xf>
    <xf numFmtId="0" fontId="2" fillId="0" borderId="0" xfId="4" applyAlignment="1">
      <alignment horizontal="left" vertical="top" wrapText="1"/>
    </xf>
    <xf numFmtId="0" fontId="2" fillId="0" borderId="0" xfId="4" applyAlignment="1">
      <alignment horizontal="left" vertical="top"/>
    </xf>
    <xf numFmtId="0" fontId="10" fillId="2" borderId="0" xfId="0" applyFont="1" applyFill="1" applyAlignment="1">
      <alignment horizontal="center"/>
    </xf>
    <xf numFmtId="0" fontId="12" fillId="2" borderId="12" xfId="0" applyFont="1" applyFill="1" applyBorder="1" applyAlignment="1">
      <alignment horizontal="left"/>
    </xf>
    <xf numFmtId="0" fontId="12" fillId="2" borderId="13" xfId="0" applyFont="1" applyFill="1" applyBorder="1" applyAlignment="1">
      <alignment horizontal="left"/>
    </xf>
    <xf numFmtId="0" fontId="12" fillId="2" borderId="14" xfId="0" applyFont="1" applyFill="1" applyBorder="1" applyAlignment="1">
      <alignment horizontal="left"/>
    </xf>
    <xf numFmtId="0" fontId="0" fillId="0" borderId="0" xfId="0" applyAlignment="1">
      <alignment horizontal="left" vertical="top" wrapText="1"/>
    </xf>
    <xf numFmtId="0" fontId="4" fillId="0" borderId="0" xfId="0" applyFont="1" applyAlignment="1">
      <alignment horizontal="left" wrapText="1"/>
    </xf>
    <xf numFmtId="0" fontId="4" fillId="0" borderId="0" xfId="0" applyFont="1" applyAlignment="1">
      <alignment horizontal="center" wrapText="1"/>
    </xf>
    <xf numFmtId="0" fontId="4" fillId="0" borderId="3" xfId="0" applyFont="1" applyBorder="1" applyAlignment="1">
      <alignment horizontal="center" wrapText="1"/>
    </xf>
    <xf numFmtId="0" fontId="11" fillId="2" borderId="8" xfId="0" applyFont="1" applyFill="1" applyBorder="1" applyAlignment="1">
      <alignment horizontal="center" wrapText="1"/>
    </xf>
    <xf numFmtId="0" fontId="11" fillId="2" borderId="9" xfId="0" applyFont="1" applyFill="1" applyBorder="1" applyAlignment="1">
      <alignment horizontal="center" wrapText="1"/>
    </xf>
    <xf numFmtId="0" fontId="3" fillId="0" borderId="0" xfId="0" applyFont="1" applyAlignment="1">
      <alignment horizontal="left" vertical="top" wrapText="1"/>
    </xf>
    <xf numFmtId="0" fontId="4" fillId="0" borderId="0" xfId="0" applyFont="1" applyAlignment="1">
      <alignment horizontal="left" vertical="center" wrapText="1"/>
    </xf>
    <xf numFmtId="0" fontId="3" fillId="0" borderId="0" xfId="0" applyFont="1" applyAlignment="1">
      <alignment horizontal="left"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0" xfId="0" applyFont="1" applyFill="1" applyBorder="1" applyAlignment="1">
      <alignment horizontal="center" vertical="center" wrapText="1"/>
    </xf>
    <xf numFmtId="0" fontId="11" fillId="0" borderId="0" xfId="0" applyFont="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4" fillId="2" borderId="0" xfId="0" applyFont="1" applyFill="1" applyAlignment="1">
      <alignment horizontal="center" wrapText="1"/>
    </xf>
    <xf numFmtId="0" fontId="4" fillId="2" borderId="10" xfId="0" applyFont="1" applyFill="1" applyBorder="1" applyAlignment="1">
      <alignment horizontal="center" wrapText="1"/>
    </xf>
    <xf numFmtId="0" fontId="20" fillId="0" borderId="0" xfId="0" applyFont="1"/>
    <xf numFmtId="0" fontId="21" fillId="0" borderId="0" xfId="0" applyFont="1"/>
    <xf numFmtId="6" fontId="0" fillId="0" borderId="14" xfId="0" applyNumberFormat="1" applyBorder="1"/>
    <xf numFmtId="0" fontId="0" fillId="0" borderId="12" xfId="0" applyBorder="1"/>
    <xf numFmtId="0" fontId="0" fillId="0" borderId="0" xfId="0" applyAlignment="1">
      <alignment horizontal="center"/>
    </xf>
    <xf numFmtId="6" fontId="0" fillId="0" borderId="0" xfId="0" applyNumberFormat="1"/>
    <xf numFmtId="164" fontId="0" fillId="0" borderId="0" xfId="0" applyNumberFormat="1"/>
    <xf numFmtId="3" fontId="0" fillId="0" borderId="0" xfId="0" applyNumberFormat="1"/>
    <xf numFmtId="0" fontId="0" fillId="0" borderId="8" xfId="0" applyBorder="1" applyAlignment="1">
      <alignment horizontal="center"/>
    </xf>
    <xf numFmtId="0" fontId="0" fillId="0" borderId="10" xfId="0" applyBorder="1"/>
    <xf numFmtId="164" fontId="0" fillId="0" borderId="10" xfId="0" applyNumberFormat="1" applyBorder="1"/>
    <xf numFmtId="0" fontId="0" fillId="0" borderId="9" xfId="0" applyBorder="1" applyAlignment="1">
      <alignment horizontal="center"/>
    </xf>
    <xf numFmtId="0" fontId="0" fillId="0" borderId="10" xfId="0" applyBorder="1" applyAlignment="1">
      <alignment horizontal="center"/>
    </xf>
    <xf numFmtId="3" fontId="22" fillId="0" borderId="0" xfId="0" applyNumberFormat="1" applyFont="1"/>
    <xf numFmtId="0" fontId="22" fillId="0" borderId="0" xfId="0" applyFont="1"/>
    <xf numFmtId="0" fontId="0" fillId="2" borderId="14" xfId="0" applyFill="1" applyBorder="1"/>
    <xf numFmtId="0" fontId="0" fillId="2" borderId="13" xfId="0" applyFill="1" applyBorder="1"/>
    <xf numFmtId="0" fontId="23" fillId="2" borderId="13" xfId="0" applyFont="1" applyFill="1" applyBorder="1"/>
    <xf numFmtId="0" fontId="0" fillId="2" borderId="12" xfId="0" applyFill="1" applyBorder="1"/>
    <xf numFmtId="172" fontId="22" fillId="0" borderId="0" xfId="0" applyNumberFormat="1" applyFont="1"/>
    <xf numFmtId="0" fontId="0" fillId="2" borderId="2" xfId="0" applyFill="1" applyBorder="1"/>
    <xf numFmtId="0" fontId="0" fillId="2" borderId="0" xfId="0" applyFill="1"/>
    <xf numFmtId="6" fontId="0" fillId="2" borderId="0" xfId="0" applyNumberFormat="1" applyFill="1"/>
    <xf numFmtId="0" fontId="0" fillId="2" borderId="0" xfId="0" quotePrefix="1" applyFill="1"/>
    <xf numFmtId="0" fontId="0" fillId="2" borderId="1" xfId="0" applyFill="1" applyBorder="1"/>
    <xf numFmtId="0" fontId="0" fillId="2" borderId="0" xfId="0" quotePrefix="1" applyFill="1" applyAlignment="1">
      <alignment horizontal="left"/>
    </xf>
    <xf numFmtId="0" fontId="0" fillId="2" borderId="0" xfId="0" quotePrefix="1" applyFill="1" applyAlignment="1">
      <alignment horizontal="center"/>
    </xf>
    <xf numFmtId="164" fontId="0" fillId="0" borderId="10" xfId="0" applyNumberFormat="1" applyBorder="1" applyAlignment="1">
      <alignment horizontal="center"/>
    </xf>
    <xf numFmtId="2" fontId="0" fillId="2" borderId="9" xfId="0" applyNumberFormat="1" applyFill="1" applyBorder="1" applyAlignment="1">
      <alignment horizontal="center"/>
    </xf>
    <xf numFmtId="2" fontId="0" fillId="2" borderId="10" xfId="0" applyNumberFormat="1" applyFill="1" applyBorder="1" applyAlignment="1">
      <alignment horizontal="center"/>
    </xf>
    <xf numFmtId="0" fontId="0" fillId="2" borderId="21" xfId="0" quotePrefix="1" applyFill="1" applyBorder="1" applyAlignment="1">
      <alignment horizontal="center"/>
    </xf>
    <xf numFmtId="2" fontId="0" fillId="2" borderId="8" xfId="0" applyNumberFormat="1" applyFill="1" applyBorder="1" applyAlignment="1">
      <alignment horizontal="center"/>
    </xf>
    <xf numFmtId="2" fontId="0" fillId="2" borderId="0" xfId="0" applyNumberFormat="1" applyFill="1" applyAlignment="1">
      <alignment horizontal="center"/>
    </xf>
    <xf numFmtId="0" fontId="0" fillId="2" borderId="22" xfId="0" quotePrefix="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23" xfId="0" applyFill="1" applyBorder="1" applyAlignment="1">
      <alignment horizontal="center"/>
    </xf>
    <xf numFmtId="0" fontId="0" fillId="2" borderId="24" xfId="0" applyFill="1" applyBorder="1" applyAlignment="1">
      <alignment horizontal="center"/>
    </xf>
    <xf numFmtId="0" fontId="0" fillId="2" borderId="25" xfId="0" quotePrefix="1" applyFill="1" applyBorder="1" applyAlignment="1">
      <alignment horizontal="center"/>
    </xf>
    <xf numFmtId="37" fontId="0" fillId="0" borderId="14" xfId="0" applyNumberFormat="1" applyBorder="1"/>
    <xf numFmtId="0" fontId="0" fillId="2" borderId="0" xfId="0" applyFill="1" applyAlignment="1">
      <alignment horizontal="center"/>
    </xf>
    <xf numFmtId="3" fontId="0" fillId="2" borderId="0" xfId="0" applyNumberFormat="1" applyFill="1" applyAlignment="1">
      <alignment horizontal="center"/>
    </xf>
    <xf numFmtId="6" fontId="0" fillId="2" borderId="9" xfId="0" applyNumberFormat="1" applyFill="1" applyBorder="1" applyAlignment="1">
      <alignment horizontal="center"/>
    </xf>
    <xf numFmtId="6" fontId="0" fillId="2" borderId="10" xfId="0" applyNumberFormat="1" applyFill="1" applyBorder="1" applyAlignment="1">
      <alignment horizontal="center"/>
    </xf>
    <xf numFmtId="0" fontId="0" fillId="2" borderId="21" xfId="0" applyFill="1" applyBorder="1" applyAlignment="1">
      <alignment horizontal="center"/>
    </xf>
    <xf numFmtId="6" fontId="0" fillId="2" borderId="8" xfId="0" applyNumberFormat="1" applyFill="1" applyBorder="1" applyAlignment="1">
      <alignment horizontal="center"/>
    </xf>
    <xf numFmtId="6" fontId="0" fillId="2" borderId="0" xfId="0" applyNumberFormat="1" applyFill="1" applyAlignment="1">
      <alignment horizontal="center"/>
    </xf>
    <xf numFmtId="0" fontId="0" fillId="2" borderId="22" xfId="0" applyFill="1" applyBorder="1" applyAlignment="1">
      <alignment horizontal="center"/>
    </xf>
    <xf numFmtId="0" fontId="0" fillId="2" borderId="25" xfId="0" applyFill="1" applyBorder="1" applyAlignment="1">
      <alignment horizontal="center"/>
    </xf>
    <xf numFmtId="0" fontId="0" fillId="2" borderId="15" xfId="0" applyFill="1" applyBorder="1"/>
    <xf numFmtId="0" fontId="0" fillId="2" borderId="11" xfId="0" applyFill="1" applyBorder="1"/>
    <xf numFmtId="0" fontId="0" fillId="2" borderId="11" xfId="0" applyFill="1" applyBorder="1" applyAlignment="1">
      <alignment horizontal="center"/>
    </xf>
    <xf numFmtId="0" fontId="22" fillId="2" borderId="11" xfId="0" applyFont="1" applyFill="1" applyBorder="1"/>
    <xf numFmtId="0" fontId="20" fillId="2" borderId="17" xfId="0" applyFont="1" applyFill="1" applyBorder="1"/>
    <xf numFmtId="8" fontId="0" fillId="0" borderId="0" xfId="0" applyNumberFormat="1"/>
    <xf numFmtId="0" fontId="26" fillId="0" borderId="0" xfId="0" applyFont="1"/>
    <xf numFmtId="173" fontId="5" fillId="0" borderId="14" xfId="1" applyNumberFormat="1" applyFont="1" applyBorder="1"/>
    <xf numFmtId="164" fontId="0" fillId="2" borderId="9" xfId="0" applyNumberFormat="1" applyFill="1" applyBorder="1" applyAlignment="1">
      <alignment horizontal="center"/>
    </xf>
    <xf numFmtId="164" fontId="0" fillId="2" borderId="10" xfId="0" applyNumberFormat="1" applyFill="1" applyBorder="1" applyAlignment="1">
      <alignment horizontal="center"/>
    </xf>
    <xf numFmtId="164" fontId="0" fillId="2" borderId="8" xfId="0" applyNumberFormat="1" applyFill="1" applyBorder="1" applyAlignment="1">
      <alignment horizontal="center"/>
    </xf>
    <xf numFmtId="164" fontId="0" fillId="2" borderId="0" xfId="0" applyNumberFormat="1" applyFill="1" applyAlignment="1">
      <alignment horizontal="center"/>
    </xf>
    <xf numFmtId="0" fontId="0" fillId="2" borderId="26" xfId="0" quotePrefix="1" applyFill="1" applyBorder="1" applyAlignment="1">
      <alignment horizontal="center"/>
    </xf>
    <xf numFmtId="0" fontId="0" fillId="2" borderId="27" xfId="0" quotePrefix="1" applyFill="1" applyBorder="1" applyAlignment="1">
      <alignment horizontal="center"/>
    </xf>
    <xf numFmtId="0" fontId="0" fillId="2" borderId="28" xfId="0" quotePrefix="1" applyFill="1" applyBorder="1" applyAlignment="1">
      <alignment horizontal="center"/>
    </xf>
    <xf numFmtId="2" fontId="0" fillId="2" borderId="21" xfId="0" applyNumberFormat="1" applyFill="1" applyBorder="1" applyAlignment="1">
      <alignment horizontal="center"/>
    </xf>
    <xf numFmtId="2" fontId="0" fillId="2" borderId="22" xfId="0" applyNumberFormat="1" applyFill="1" applyBorder="1" applyAlignment="1">
      <alignment horizontal="center"/>
    </xf>
    <xf numFmtId="172" fontId="0" fillId="0" borderId="0" xfId="0" applyNumberFormat="1"/>
    <xf numFmtId="6" fontId="0" fillId="0" borderId="10" xfId="0" applyNumberFormat="1" applyBorder="1" applyAlignment="1">
      <alignment horizontal="center"/>
    </xf>
    <xf numFmtId="0" fontId="0" fillId="0" borderId="13" xfId="0" applyBorder="1"/>
    <xf numFmtId="164" fontId="0" fillId="0" borderId="8" xfId="0" applyNumberFormat="1" applyBorder="1"/>
    <xf numFmtId="0" fontId="0" fillId="0" borderId="9" xfId="0" applyBorder="1"/>
    <xf numFmtId="0" fontId="23" fillId="2" borderId="0" xfId="0" applyFont="1" applyFill="1"/>
    <xf numFmtId="0" fontId="0" fillId="2" borderId="0" xfId="0" applyFill="1" applyAlignment="1">
      <alignment horizontal="left" wrapText="1"/>
    </xf>
    <xf numFmtId="9" fontId="0" fillId="2" borderId="0" xfId="0" applyNumberFormat="1" applyFill="1" applyAlignment="1">
      <alignment horizontal="center"/>
    </xf>
    <xf numFmtId="173" fontId="0" fillId="0" borderId="0" xfId="0" applyNumberFormat="1"/>
    <xf numFmtId="173" fontId="5" fillId="0" borderId="0" xfId="1" applyNumberFormat="1" applyFont="1"/>
    <xf numFmtId="0" fontId="22" fillId="0" borderId="0" xfId="0" applyFont="1" applyAlignment="1">
      <alignment horizontal="left"/>
    </xf>
    <xf numFmtId="0" fontId="0" fillId="0" borderId="12" xfId="0" applyBorder="1" applyAlignment="1">
      <alignment horizontal="left"/>
    </xf>
    <xf numFmtId="0" fontId="0" fillId="0" borderId="0" xfId="0" applyAlignment="1">
      <alignment horizontal="left"/>
    </xf>
    <xf numFmtId="170" fontId="0" fillId="0" borderId="0" xfId="0" applyNumberFormat="1"/>
    <xf numFmtId="170" fontId="0" fillId="0" borderId="0" xfId="1" applyNumberFormat="1" applyFont="1"/>
    <xf numFmtId="173" fontId="5" fillId="0" borderId="0" xfId="1" applyNumberFormat="1" applyFont="1" applyAlignment="1">
      <alignment horizontal="center"/>
    </xf>
    <xf numFmtId="173" fontId="5" fillId="0" borderId="0" xfId="1" applyNumberFormat="1" applyFont="1" applyAlignment="1">
      <alignment horizontal="left"/>
    </xf>
    <xf numFmtId="0" fontId="5" fillId="0" borderId="0" xfId="1" applyNumberFormat="1" applyFont="1" applyAlignment="1">
      <alignment horizontal="center"/>
    </xf>
    <xf numFmtId="6" fontId="22" fillId="0" borderId="0" xfId="0" applyNumberFormat="1" applyFont="1"/>
    <xf numFmtId="0" fontId="0" fillId="2" borderId="0" xfId="0" applyFill="1" applyAlignment="1">
      <alignment horizontal="left"/>
    </xf>
    <xf numFmtId="2" fontId="0" fillId="0" borderId="0" xfId="1" applyNumberFormat="1" applyFont="1" applyAlignment="1">
      <alignment horizontal="center"/>
    </xf>
    <xf numFmtId="3" fontId="0" fillId="2" borderId="21" xfId="0" applyNumberFormat="1" applyFill="1" applyBorder="1" applyAlignment="1">
      <alignment horizontal="center"/>
    </xf>
    <xf numFmtId="3" fontId="0" fillId="2" borderId="29" xfId="0" applyNumberFormat="1" applyFill="1" applyBorder="1" applyAlignment="1">
      <alignment horizontal="center"/>
    </xf>
    <xf numFmtId="0" fontId="0" fillId="2" borderId="29" xfId="0" quotePrefix="1" applyFill="1" applyBorder="1" applyAlignment="1">
      <alignment horizontal="center"/>
    </xf>
    <xf numFmtId="3" fontId="0" fillId="2" borderId="22" xfId="0" applyNumberFormat="1" applyFill="1" applyBorder="1" applyAlignment="1">
      <alignment horizontal="center"/>
    </xf>
    <xf numFmtId="3" fontId="0" fillId="2" borderId="30" xfId="0" applyNumberFormat="1" applyFill="1" applyBorder="1" applyAlignment="1">
      <alignment horizontal="center"/>
    </xf>
    <xf numFmtId="0" fontId="0" fillId="2" borderId="30" xfId="0" quotePrefix="1" applyFill="1" applyBorder="1" applyAlignment="1">
      <alignment horizontal="center"/>
    </xf>
    <xf numFmtId="3" fontId="0" fillId="2" borderId="25" xfId="0" applyNumberFormat="1" applyFill="1" applyBorder="1" applyAlignment="1">
      <alignment horizontal="center"/>
    </xf>
    <xf numFmtId="3" fontId="0" fillId="2" borderId="8" xfId="0" applyNumberFormat="1" applyFill="1" applyBorder="1" applyAlignment="1">
      <alignment horizontal="center"/>
    </xf>
    <xf numFmtId="6" fontId="0" fillId="2" borderId="21" xfId="0" applyNumberFormat="1" applyFill="1" applyBorder="1" applyAlignment="1">
      <alignment horizontal="center"/>
    </xf>
    <xf numFmtId="0" fontId="0" fillId="2" borderId="27" xfId="0" applyFill="1" applyBorder="1" applyAlignment="1">
      <alignment horizontal="center"/>
    </xf>
    <xf numFmtId="0" fontId="0" fillId="2" borderId="31" xfId="0" applyFill="1" applyBorder="1" applyAlignment="1">
      <alignment horizontal="center"/>
    </xf>
    <xf numFmtId="0" fontId="0" fillId="2" borderId="21" xfId="0" quotePrefix="1" applyFill="1" applyBorder="1" applyAlignment="1">
      <alignment horizontal="center"/>
    </xf>
    <xf numFmtId="6" fontId="0" fillId="2" borderId="25" xfId="0" applyNumberFormat="1" applyFill="1" applyBorder="1" applyAlignment="1">
      <alignment horizontal="center"/>
    </xf>
    <xf numFmtId="0" fontId="0" fillId="2" borderId="27" xfId="0" applyFill="1" applyBorder="1" applyAlignment="1">
      <alignment horizontal="center"/>
    </xf>
    <xf numFmtId="0" fontId="0" fillId="2" borderId="31" xfId="0" applyFill="1" applyBorder="1" applyAlignment="1">
      <alignment horizontal="center"/>
    </xf>
    <xf numFmtId="0" fontId="0" fillId="2" borderId="25" xfId="0" quotePrefix="1" applyFill="1" applyBorder="1" applyAlignment="1">
      <alignment horizontal="center"/>
    </xf>
    <xf numFmtId="3" fontId="5" fillId="0" borderId="0" xfId="1" applyNumberFormat="1" applyFont="1" applyAlignment="1">
      <alignment horizontal="center"/>
    </xf>
    <xf numFmtId="3" fontId="0" fillId="2" borderId="10" xfId="0" applyNumberFormat="1" applyFill="1" applyBorder="1" applyAlignment="1">
      <alignment horizontal="center"/>
    </xf>
    <xf numFmtId="0" fontId="0" fillId="2" borderId="26" xfId="0" applyFill="1" applyBorder="1" applyAlignment="1">
      <alignment horizontal="center"/>
    </xf>
    <xf numFmtId="0" fontId="0" fillId="2" borderId="26" xfId="0" applyFill="1" applyBorder="1" applyAlignment="1">
      <alignment horizontal="center"/>
    </xf>
    <xf numFmtId="0" fontId="27" fillId="0" borderId="0" xfId="0" applyFont="1"/>
    <xf numFmtId="0" fontId="25" fillId="0" borderId="0" xfId="0" applyFont="1" applyAlignment="1">
      <alignment horizontal="left" vertical="top" wrapText="1"/>
    </xf>
    <xf numFmtId="3" fontId="0" fillId="0" borderId="14" xfId="0" applyNumberFormat="1" applyBorder="1"/>
    <xf numFmtId="1" fontId="0" fillId="0" borderId="0" xfId="0" applyNumberFormat="1"/>
    <xf numFmtId="0" fontId="0" fillId="0" borderId="8" xfId="0" applyBorder="1"/>
    <xf numFmtId="6" fontId="0" fillId="2" borderId="21" xfId="0" applyNumberFormat="1" applyFill="1" applyBorder="1" applyAlignment="1">
      <alignment horizontal="center"/>
    </xf>
    <xf numFmtId="164" fontId="0" fillId="0" borderId="9" xfId="0" applyNumberFormat="1" applyBorder="1"/>
    <xf numFmtId="6" fontId="0" fillId="2" borderId="22" xfId="0" applyNumberFormat="1" applyFill="1" applyBorder="1" applyAlignment="1">
      <alignment horizontal="center"/>
    </xf>
    <xf numFmtId="0" fontId="28" fillId="0" borderId="0" xfId="0" applyFont="1" applyAlignment="1">
      <alignment horizontal="left" wrapText="1"/>
    </xf>
    <xf numFmtId="0" fontId="26" fillId="0" borderId="0" xfId="0" applyFont="1" applyAlignment="1">
      <alignment horizontal="left"/>
    </xf>
    <xf numFmtId="0" fontId="0" fillId="0" borderId="0" xfId="0" quotePrefix="1" applyAlignment="1">
      <alignment horizontal="left" wrapText="1"/>
    </xf>
    <xf numFmtId="0" fontId="28" fillId="0" borderId="0" xfId="0" applyFont="1"/>
    <xf numFmtId="0" fontId="0" fillId="2" borderId="20" xfId="0" applyFill="1" applyBorder="1" applyAlignment="1">
      <alignment horizontal="left"/>
    </xf>
    <xf numFmtId="0" fontId="0" fillId="2" borderId="19" xfId="0" applyFill="1" applyBorder="1" applyAlignment="1">
      <alignment horizontal="left"/>
    </xf>
    <xf numFmtId="0" fontId="0" fillId="2" borderId="18" xfId="0" applyFill="1" applyBorder="1" applyAlignment="1">
      <alignment horizontal="left"/>
    </xf>
    <xf numFmtId="0" fontId="0" fillId="2" borderId="2" xfId="0" applyFill="1" applyBorder="1" applyAlignment="1">
      <alignment horizontal="left"/>
    </xf>
    <xf numFmtId="0" fontId="28" fillId="2" borderId="0" xfId="0" applyFont="1" applyFill="1" applyAlignment="1">
      <alignment horizontal="left" wrapText="1"/>
    </xf>
    <xf numFmtId="0" fontId="0" fillId="2" borderId="1" xfId="0" applyFill="1" applyBorder="1" applyAlignment="1">
      <alignment horizontal="left"/>
    </xf>
    <xf numFmtId="0" fontId="22" fillId="2" borderId="0" xfId="0" applyFont="1" applyFill="1" applyAlignment="1">
      <alignment horizontal="left"/>
    </xf>
    <xf numFmtId="0" fontId="28" fillId="2" borderId="0" xfId="0" applyFont="1" applyFill="1"/>
    <xf numFmtId="0" fontId="0" fillId="0" borderId="0" xfId="0" quotePrefix="1" applyAlignment="1">
      <alignment horizontal="left"/>
    </xf>
    <xf numFmtId="0" fontId="29" fillId="0" borderId="0" xfId="0" quotePrefix="1" applyFont="1"/>
    <xf numFmtId="2" fontId="0" fillId="2" borderId="0" xfId="0" applyNumberFormat="1" applyFill="1" applyAlignment="1">
      <alignment horizontal="left"/>
    </xf>
    <xf numFmtId="6" fontId="0" fillId="2" borderId="0" xfId="0" applyNumberFormat="1" applyFill="1" applyAlignment="1">
      <alignment horizontal="left"/>
    </xf>
    <xf numFmtId="0" fontId="28" fillId="2" borderId="0" xfId="0" applyFont="1" applyFill="1" applyAlignment="1">
      <alignment horizontal="left"/>
    </xf>
    <xf numFmtId="0" fontId="22" fillId="0" borderId="0" xfId="0" quotePrefix="1" applyFont="1" applyAlignment="1">
      <alignment horizontal="left"/>
    </xf>
    <xf numFmtId="0" fontId="0" fillId="2" borderId="15" xfId="0" applyFill="1" applyBorder="1" applyAlignment="1">
      <alignment horizontal="left"/>
    </xf>
    <xf numFmtId="0" fontId="0" fillId="2" borderId="11" xfId="0" applyFill="1" applyBorder="1" applyAlignment="1">
      <alignment horizontal="left"/>
    </xf>
    <xf numFmtId="0" fontId="20" fillId="2" borderId="17" xfId="0" applyFont="1" applyFill="1" applyBorder="1" applyAlignment="1">
      <alignment horizontal="left"/>
    </xf>
    <xf numFmtId="43" fontId="22" fillId="0" borderId="0" xfId="0" applyNumberFormat="1" applyFont="1"/>
    <xf numFmtId="0" fontId="0" fillId="2" borderId="13" xfId="0" quotePrefix="1" applyFill="1" applyBorder="1"/>
    <xf numFmtId="0" fontId="0" fillId="2" borderId="12" xfId="0" applyFill="1" applyBorder="1" applyAlignment="1">
      <alignment horizontal="left"/>
    </xf>
    <xf numFmtId="0" fontId="0" fillId="2" borderId="20" xfId="0" applyFill="1" applyBorder="1"/>
    <xf numFmtId="0" fontId="0" fillId="2" borderId="19" xfId="0" applyFill="1" applyBorder="1"/>
    <xf numFmtId="0" fontId="0" fillId="2" borderId="19" xfId="0" quotePrefix="1" applyFill="1" applyBorder="1"/>
    <xf numFmtId="0" fontId="1" fillId="0" borderId="0" xfId="0" applyFont="1"/>
    <xf numFmtId="0" fontId="11" fillId="0" borderId="0" xfId="0" applyFont="1" applyAlignment="1">
      <alignment horizontal="left" vertical="center"/>
    </xf>
    <xf numFmtId="0" fontId="6" fillId="0" borderId="0" xfId="0" applyFont="1" applyAlignment="1">
      <alignment vertical="center"/>
    </xf>
    <xf numFmtId="10" fontId="1" fillId="0" borderId="14" xfId="0" applyNumberFormat="1" applyFont="1" applyBorder="1" applyAlignment="1">
      <alignment horizontal="center" vertical="center"/>
    </xf>
    <xf numFmtId="0" fontId="1" fillId="0" borderId="12" xfId="0" applyFont="1" applyBorder="1" applyAlignment="1">
      <alignment horizontal="center"/>
    </xf>
    <xf numFmtId="0" fontId="0" fillId="2" borderId="0" xfId="0" applyFill="1" applyAlignment="1">
      <alignment horizontal="right"/>
    </xf>
    <xf numFmtId="0" fontId="0" fillId="2" borderId="0" xfId="0" quotePrefix="1" applyFill="1" applyAlignment="1">
      <alignment horizontal="right"/>
    </xf>
    <xf numFmtId="3" fontId="0" fillId="0" borderId="14" xfId="0" applyNumberFormat="1" applyBorder="1" applyAlignment="1">
      <alignment horizontal="center"/>
    </xf>
    <xf numFmtId="164" fontId="1" fillId="0" borderId="0" xfId="0" applyNumberFormat="1" applyFont="1"/>
    <xf numFmtId="165" fontId="0" fillId="0" borderId="0" xfId="2" applyNumberFormat="1" applyFont="1" applyAlignment="1">
      <alignment horizontal="center"/>
    </xf>
    <xf numFmtId="3" fontId="0" fillId="2" borderId="26" xfId="0" applyNumberFormat="1" applyFill="1" applyBorder="1" applyAlignment="1">
      <alignment horizontal="center"/>
    </xf>
    <xf numFmtId="3" fontId="0" fillId="2" borderId="31" xfId="0" applyNumberFormat="1" applyFill="1" applyBorder="1" applyAlignment="1">
      <alignment horizontal="center"/>
    </xf>
    <xf numFmtId="0" fontId="0" fillId="2" borderId="28" xfId="0" applyFill="1" applyBorder="1" applyAlignment="1">
      <alignment horizontal="center"/>
    </xf>
    <xf numFmtId="3" fontId="0" fillId="0" borderId="0" xfId="0" applyNumberFormat="1" applyAlignment="1">
      <alignment horizontal="center"/>
    </xf>
    <xf numFmtId="3" fontId="0" fillId="2" borderId="9" xfId="0" applyNumberFormat="1" applyFill="1" applyBorder="1" applyAlignment="1">
      <alignment horizontal="center"/>
    </xf>
    <xf numFmtId="165" fontId="0" fillId="2" borderId="10" xfId="0" applyNumberFormat="1" applyFill="1" applyBorder="1" applyAlignment="1">
      <alignment horizontal="center"/>
    </xf>
    <xf numFmtId="3" fontId="0" fillId="0" borderId="8" xfId="0" applyNumberFormat="1" applyBorder="1" applyAlignment="1">
      <alignment horizontal="center"/>
    </xf>
    <xf numFmtId="165" fontId="0" fillId="2" borderId="0" xfId="0" applyNumberFormat="1" applyFill="1" applyAlignment="1">
      <alignment horizontal="center"/>
    </xf>
    <xf numFmtId="3" fontId="0" fillId="0" borderId="10" xfId="0" applyNumberFormat="1" applyBorder="1" applyAlignment="1">
      <alignment horizontal="center"/>
    </xf>
    <xf numFmtId="3" fontId="0" fillId="0" borderId="9" xfId="0" applyNumberFormat="1" applyBorder="1" applyAlignment="1">
      <alignment horizontal="center"/>
    </xf>
    <xf numFmtId="9" fontId="0" fillId="0" borderId="10" xfId="0" applyNumberFormat="1" applyBorder="1" applyAlignment="1">
      <alignment horizontal="center"/>
    </xf>
    <xf numFmtId="174" fontId="0" fillId="2" borderId="23" xfId="0" applyNumberFormat="1" applyFill="1" applyBorder="1" applyAlignment="1">
      <alignment horizontal="center"/>
    </xf>
    <xf numFmtId="165" fontId="0" fillId="2" borderId="24" xfId="0" applyNumberFormat="1" applyFill="1" applyBorder="1" applyAlignment="1">
      <alignment horizontal="center"/>
    </xf>
    <xf numFmtId="174" fontId="0" fillId="2" borderId="32" xfId="0" applyNumberFormat="1" applyFill="1" applyBorder="1" applyAlignment="1">
      <alignment horizontal="center"/>
    </xf>
    <xf numFmtId="9" fontId="0" fillId="0" borderId="0" xfId="0" applyNumberFormat="1" applyAlignment="1">
      <alignment horizontal="center"/>
    </xf>
    <xf numFmtId="0" fontId="0" fillId="2" borderId="29" xfId="0" applyFill="1" applyBorder="1" applyAlignment="1">
      <alignment horizontal="center"/>
    </xf>
    <xf numFmtId="0" fontId="0" fillId="2" borderId="8" xfId="0" applyFill="1" applyBorder="1" applyAlignment="1">
      <alignment horizontal="center"/>
    </xf>
    <xf numFmtId="0" fontId="0" fillId="2" borderId="30" xfId="0" applyFill="1" applyBorder="1" applyAlignment="1">
      <alignment horizontal="center"/>
    </xf>
    <xf numFmtId="0" fontId="0" fillId="2" borderId="32" xfId="0" applyFill="1" applyBorder="1" applyAlignment="1">
      <alignment horizontal="center"/>
    </xf>
    <xf numFmtId="2" fontId="22" fillId="2" borderId="0" xfId="0" applyNumberFormat="1" applyFont="1" applyFill="1" applyAlignment="1">
      <alignment horizontal="center"/>
    </xf>
    <xf numFmtId="0" fontId="22" fillId="2" borderId="0" xfId="0" applyFont="1" applyFill="1"/>
    <xf numFmtId="0" fontId="0" fillId="2" borderId="17" xfId="0" applyFill="1" applyBorder="1" applyAlignment="1">
      <alignment horizontal="left"/>
    </xf>
    <xf numFmtId="0" fontId="0" fillId="0" borderId="0" xfId="0" applyAlignment="1">
      <alignment vertical="center"/>
    </xf>
    <xf numFmtId="165" fontId="5" fillId="0" borderId="14" xfId="2" applyNumberFormat="1" applyFont="1" applyBorder="1" applyAlignment="1">
      <alignment horizontal="center" vertical="center"/>
    </xf>
    <xf numFmtId="0" fontId="0" fillId="0" borderId="12" xfId="0" applyBorder="1" applyAlignment="1">
      <alignment horizontal="center" vertical="center"/>
    </xf>
    <xf numFmtId="3" fontId="0" fillId="0" borderId="14" xfId="0" applyNumberFormat="1" applyBorder="1" applyAlignment="1">
      <alignment horizontal="center" vertical="center"/>
    </xf>
    <xf numFmtId="0" fontId="0" fillId="0" borderId="12" xfId="0" applyBorder="1" applyAlignment="1">
      <alignment vertical="center"/>
    </xf>
    <xf numFmtId="171" fontId="0" fillId="0" borderId="0" xfId="0" applyNumberFormat="1"/>
    <xf numFmtId="171" fontId="0" fillId="0" borderId="0" xfId="0" applyNumberFormat="1" applyAlignment="1">
      <alignment horizontal="center" vertical="center"/>
    </xf>
    <xf numFmtId="0" fontId="0" fillId="0" borderId="0" xfId="0" applyAlignment="1">
      <alignment horizontal="center" vertical="center"/>
    </xf>
    <xf numFmtId="3" fontId="0" fillId="2" borderId="0" xfId="0" applyNumberFormat="1" applyFill="1"/>
    <xf numFmtId="165" fontId="0" fillId="0" borderId="0" xfId="0" applyNumberFormat="1" applyAlignment="1">
      <alignment horizontal="center" vertical="center"/>
    </xf>
    <xf numFmtId="9" fontId="0" fillId="2" borderId="9" xfId="0" applyNumberFormat="1" applyFill="1" applyBorder="1" applyAlignment="1">
      <alignment horizontal="center"/>
    </xf>
    <xf numFmtId="175" fontId="0" fillId="2" borderId="10" xfId="0" applyNumberFormat="1" applyFill="1" applyBorder="1" applyAlignment="1">
      <alignment horizontal="center"/>
    </xf>
    <xf numFmtId="9" fontId="0" fillId="2" borderId="8" xfId="0" applyNumberFormat="1" applyFill="1" applyBorder="1" applyAlignment="1">
      <alignment horizontal="center"/>
    </xf>
    <xf numFmtId="175" fontId="0" fillId="2" borderId="0" xfId="0" applyNumberFormat="1" applyFill="1" applyAlignment="1">
      <alignment horizontal="center"/>
    </xf>
    <xf numFmtId="176" fontId="0" fillId="0" borderId="24" xfId="0" applyNumberFormat="1" applyBorder="1" applyAlignment="1">
      <alignment horizontal="center" vertical="center"/>
    </xf>
    <xf numFmtId="177" fontId="0" fillId="0" borderId="0" xfId="0" applyNumberFormat="1" applyAlignment="1">
      <alignment horizontal="center" vertical="center"/>
    </xf>
    <xf numFmtId="1" fontId="0" fillId="0" borderId="10" xfId="0" applyNumberFormat="1" applyBorder="1" applyAlignment="1">
      <alignment horizontal="center" vertical="center"/>
    </xf>
    <xf numFmtId="9" fontId="0" fillId="0" borderId="9" xfId="0" applyNumberFormat="1" applyBorder="1" applyAlignment="1">
      <alignment horizontal="center" vertical="center"/>
    </xf>
    <xf numFmtId="0" fontId="0" fillId="0" borderId="10" xfId="0" applyBorder="1" applyAlignment="1">
      <alignment horizontal="center" vertical="center"/>
    </xf>
    <xf numFmtId="9" fontId="0" fillId="0" borderId="10" xfId="0" applyNumberFormat="1" applyBorder="1" applyAlignment="1">
      <alignment horizontal="center" vertical="center"/>
    </xf>
    <xf numFmtId="3" fontId="0" fillId="0" borderId="10" xfId="0" applyNumberFormat="1" applyBorder="1" applyAlignment="1">
      <alignment horizontal="center" vertical="center"/>
    </xf>
    <xf numFmtId="0" fontId="0" fillId="0" borderId="9" xfId="0" applyBorder="1" applyAlignment="1">
      <alignment horizontal="center" vertical="center"/>
    </xf>
    <xf numFmtId="1" fontId="0" fillId="0" borderId="0" xfId="0" applyNumberFormat="1" applyAlignment="1">
      <alignment horizontal="center" vertical="center"/>
    </xf>
    <xf numFmtId="9" fontId="0" fillId="0" borderId="8" xfId="0" applyNumberFormat="1" applyBorder="1" applyAlignment="1">
      <alignment horizontal="center" vertical="center"/>
    </xf>
    <xf numFmtId="9" fontId="0" fillId="0" borderId="0" xfId="0" applyNumberFormat="1" applyAlignment="1">
      <alignment horizontal="center" vertical="center"/>
    </xf>
    <xf numFmtId="3" fontId="0" fillId="0" borderId="0" xfId="0" applyNumberFormat="1" applyAlignment="1">
      <alignment horizontal="center" vertical="center"/>
    </xf>
    <xf numFmtId="0" fontId="0" fillId="0" borderId="8" xfId="0" applyBorder="1" applyAlignment="1">
      <alignment horizontal="center" vertical="center"/>
    </xf>
    <xf numFmtId="0" fontId="0" fillId="2" borderId="24" xfId="0" applyFill="1" applyBorder="1"/>
    <xf numFmtId="0" fontId="0" fillId="2" borderId="32" xfId="0" applyFill="1" applyBorder="1"/>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20" fillId="0" borderId="0" xfId="0" applyFont="1" applyAlignment="1">
      <alignment vertical="center"/>
    </xf>
    <xf numFmtId="0" fontId="0" fillId="0" borderId="0" xfId="0" applyAlignment="1">
      <alignment horizontal="left" wrapText="1"/>
    </xf>
    <xf numFmtId="0" fontId="0" fillId="0" borderId="0" xfId="0" applyAlignment="1">
      <alignment vertical="center" wrapText="1"/>
    </xf>
    <xf numFmtId="172" fontId="0" fillId="0" borderId="0" xfId="0" applyNumberFormat="1" applyAlignment="1">
      <alignment horizontal="center" vertical="center"/>
    </xf>
    <xf numFmtId="0" fontId="26" fillId="0" borderId="0" xfId="0" applyFont="1" applyAlignment="1">
      <alignment horizontal="center" vertical="center" wrapText="1"/>
    </xf>
    <xf numFmtId="0" fontId="0" fillId="0" borderId="0" xfId="0" quotePrefix="1"/>
    <xf numFmtId="177" fontId="0" fillId="0" borderId="14" xfId="0" applyNumberFormat="1" applyBorder="1" applyAlignment="1">
      <alignment horizontal="center" vertical="center"/>
    </xf>
    <xf numFmtId="0" fontId="32" fillId="0" borderId="0" xfId="0" applyFont="1" applyAlignment="1">
      <alignment horizontal="center" vertical="center"/>
    </xf>
    <xf numFmtId="0" fontId="26" fillId="0" borderId="0" xfId="0" applyFont="1" applyAlignment="1">
      <alignment horizontal="center" vertical="center" wrapText="1"/>
    </xf>
    <xf numFmtId="0" fontId="1" fillId="0" borderId="0" xfId="0" applyFont="1" applyAlignment="1">
      <alignment horizontal="left"/>
    </xf>
    <xf numFmtId="1" fontId="0" fillId="2" borderId="0" xfId="0" applyNumberFormat="1" applyFill="1" applyAlignment="1">
      <alignment horizontal="left"/>
    </xf>
    <xf numFmtId="178" fontId="0" fillId="2" borderId="0" xfId="0" applyNumberFormat="1" applyFill="1" applyAlignment="1">
      <alignment horizontal="left"/>
    </xf>
    <xf numFmtId="0" fontId="1" fillId="2" borderId="0" xfId="0" applyFont="1" applyFill="1" applyAlignment="1">
      <alignment horizontal="center"/>
    </xf>
    <xf numFmtId="165" fontId="0" fillId="0" borderId="8" xfId="2" applyNumberFormat="1" applyFont="1" applyFill="1" applyBorder="1" applyAlignment="1">
      <alignment horizontal="center" vertical="center"/>
    </xf>
    <xf numFmtId="165" fontId="0" fillId="0" borderId="0" xfId="2" applyNumberFormat="1" applyFont="1" applyFill="1" applyAlignment="1">
      <alignment horizontal="center" vertical="center"/>
    </xf>
    <xf numFmtId="177" fontId="0" fillId="0" borderId="10" xfId="0" applyNumberFormat="1" applyBorder="1" applyAlignment="1">
      <alignment horizontal="center" vertical="center"/>
    </xf>
    <xf numFmtId="177" fontId="0" fillId="0" borderId="9" xfId="0" applyNumberFormat="1" applyBorder="1" applyAlignment="1">
      <alignment horizontal="center" vertical="center"/>
    </xf>
    <xf numFmtId="177" fontId="0" fillId="0" borderId="8" xfId="0" applyNumberFormat="1" applyBorder="1" applyAlignment="1">
      <alignment horizontal="center" vertical="center"/>
    </xf>
    <xf numFmtId="0" fontId="26" fillId="0" borderId="0" xfId="0" applyFont="1" applyAlignment="1">
      <alignment vertical="center"/>
    </xf>
    <xf numFmtId="0" fontId="0" fillId="0" borderId="23" xfId="0" applyBorder="1"/>
    <xf numFmtId="164" fontId="0" fillId="0" borderId="10" xfId="0" applyNumberFormat="1" applyBorder="1" applyAlignment="1">
      <alignment horizontal="center" vertical="center"/>
    </xf>
    <xf numFmtId="179" fontId="0" fillId="0" borderId="10" xfId="0" applyNumberFormat="1" applyBorder="1" applyAlignment="1">
      <alignment horizontal="center" vertical="center"/>
    </xf>
    <xf numFmtId="3" fontId="0" fillId="2" borderId="23" xfId="0" applyNumberFormat="1" applyFill="1" applyBorder="1" applyAlignment="1">
      <alignment horizontal="center"/>
    </xf>
    <xf numFmtId="3" fontId="0" fillId="2" borderId="24" xfId="0" applyNumberFormat="1" applyFill="1" applyBorder="1" applyAlignment="1">
      <alignment horizontal="center"/>
    </xf>
    <xf numFmtId="164" fontId="0" fillId="0" borderId="0" xfId="0" applyNumberFormat="1" applyAlignment="1">
      <alignment horizontal="center" vertical="center"/>
    </xf>
    <xf numFmtId="179" fontId="0" fillId="0" borderId="0" xfId="0" applyNumberFormat="1" applyAlignment="1">
      <alignment horizontal="center" vertical="center"/>
    </xf>
    <xf numFmtId="0" fontId="0" fillId="0" borderId="10" xfId="0" applyBorder="1" applyAlignment="1">
      <alignment horizontal="center" vertical="center" wrapText="1"/>
    </xf>
    <xf numFmtId="2" fontId="0" fillId="0" borderId="0" xfId="0" applyNumberFormat="1"/>
    <xf numFmtId="43" fontId="0" fillId="0" borderId="0" xfId="1" applyFont="1"/>
    <xf numFmtId="3" fontId="0" fillId="2" borderId="14" xfId="0" applyNumberFormat="1" applyFill="1" applyBorder="1" applyAlignment="1">
      <alignment horizontal="center" vertical="center"/>
    </xf>
    <xf numFmtId="180" fontId="0" fillId="0" borderId="0" xfId="0" applyNumberFormat="1" applyAlignment="1">
      <alignment horizontal="center" vertical="center"/>
    </xf>
    <xf numFmtId="2" fontId="0" fillId="0" borderId="0" xfId="0" applyNumberFormat="1" applyAlignment="1">
      <alignment horizontal="center" vertical="center"/>
    </xf>
    <xf numFmtId="2" fontId="0" fillId="0" borderId="0" xfId="0" applyNumberFormat="1" applyAlignment="1">
      <alignment horizontal="center"/>
    </xf>
    <xf numFmtId="0" fontId="0" fillId="2" borderId="25" xfId="0" applyFill="1" applyBorder="1" applyAlignment="1">
      <alignment horizontal="center"/>
    </xf>
    <xf numFmtId="181" fontId="0" fillId="0" borderId="0" xfId="0" applyNumberFormat="1" applyAlignment="1">
      <alignment horizontal="center" vertical="center"/>
    </xf>
    <xf numFmtId="0" fontId="36" fillId="0" borderId="0" xfId="0" applyFont="1" applyAlignment="1">
      <alignment horizontal="left" vertical="center"/>
    </xf>
    <xf numFmtId="0" fontId="36" fillId="0" borderId="0" xfId="0" applyFont="1" applyAlignment="1">
      <alignment horizontal="left" vertical="center"/>
    </xf>
    <xf numFmtId="0" fontId="11" fillId="0" borderId="0" xfId="0" applyFont="1" applyAlignment="1">
      <alignment vertical="center"/>
    </xf>
    <xf numFmtId="0" fontId="0" fillId="0" borderId="0" xfId="0" applyAlignment="1">
      <alignment horizontal="left" vertical="center" wrapText="1"/>
    </xf>
    <xf numFmtId="174" fontId="0" fillId="0" borderId="0" xfId="0" applyNumberFormat="1" applyAlignment="1">
      <alignment horizontal="center" vertical="center"/>
    </xf>
    <xf numFmtId="0" fontId="21" fillId="2" borderId="0" xfId="0" applyFont="1" applyFill="1"/>
    <xf numFmtId="0" fontId="0" fillId="0" borderId="0" xfId="0" applyAlignment="1">
      <alignment horizontal="left" vertical="top"/>
    </xf>
    <xf numFmtId="174" fontId="0" fillId="2" borderId="0" xfId="0" applyNumberFormat="1" applyFill="1" applyAlignment="1">
      <alignment horizontal="left"/>
    </xf>
    <xf numFmtId="3" fontId="0" fillId="2" borderId="0" xfId="0" applyNumberFormat="1" applyFill="1" applyAlignment="1">
      <alignment horizontal="left"/>
    </xf>
    <xf numFmtId="10" fontId="0" fillId="0" borderId="14" xfId="2" applyNumberFormat="1" applyFont="1" applyFill="1" applyBorder="1" applyAlignment="1">
      <alignment horizontal="center"/>
    </xf>
    <xf numFmtId="172" fontId="0" fillId="0" borderId="9" xfId="0" applyNumberFormat="1" applyBorder="1" applyAlignment="1">
      <alignment horizontal="center"/>
    </xf>
    <xf numFmtId="172" fontId="0" fillId="0" borderId="10" xfId="0" applyNumberFormat="1" applyBorder="1" applyAlignment="1">
      <alignment horizontal="center"/>
    </xf>
    <xf numFmtId="172" fontId="0" fillId="0" borderId="8" xfId="0" applyNumberFormat="1" applyBorder="1" applyAlignment="1">
      <alignment horizontal="center"/>
    </xf>
    <xf numFmtId="172" fontId="0" fillId="0" borderId="0" xfId="0" applyNumberFormat="1" applyAlignment="1">
      <alignment horizontal="center"/>
    </xf>
    <xf numFmtId="43" fontId="0" fillId="0" borderId="0" xfId="0" applyNumberFormat="1" applyAlignment="1">
      <alignment horizontal="center"/>
    </xf>
    <xf numFmtId="173" fontId="0" fillId="0" borderId="0" xfId="1" applyNumberFormat="1" applyFont="1"/>
    <xf numFmtId="0" fontId="0" fillId="0" borderId="0" xfId="0" applyAlignment="1">
      <alignment vertical="top"/>
    </xf>
    <xf numFmtId="170" fontId="5" fillId="0" borderId="14" xfId="1" applyNumberFormat="1" applyFont="1" applyBorder="1"/>
    <xf numFmtId="0" fontId="0" fillId="0" borderId="12" xfId="0" applyBorder="1" applyAlignment="1">
      <alignment horizontal="center"/>
    </xf>
    <xf numFmtId="170" fontId="5" fillId="0" borderId="14" xfId="1" applyNumberFormat="1" applyFont="1" applyBorder="1" applyAlignment="1">
      <alignment horizontal="center"/>
    </xf>
    <xf numFmtId="0" fontId="0" fillId="2" borderId="0" xfId="0" applyFill="1" applyAlignment="1">
      <alignment horizontal="left" indent="2"/>
    </xf>
    <xf numFmtId="0" fontId="26" fillId="2" borderId="0" xfId="0" applyFont="1" applyFill="1"/>
    <xf numFmtId="174" fontId="0" fillId="2" borderId="21" xfId="0" applyNumberFormat="1" applyFill="1" applyBorder="1" applyAlignment="1">
      <alignment horizontal="center"/>
    </xf>
    <xf numFmtId="174" fontId="0" fillId="2" borderId="22" xfId="0" applyNumberFormat="1" applyFill="1" applyBorder="1" applyAlignment="1">
      <alignment horizontal="center"/>
    </xf>
    <xf numFmtId="9" fontId="0" fillId="2" borderId="23" xfId="0" applyNumberFormat="1" applyFill="1" applyBorder="1" applyAlignment="1">
      <alignment horizontal="center"/>
    </xf>
    <xf numFmtId="174" fontId="0" fillId="2" borderId="25" xfId="0" applyNumberFormat="1" applyFill="1" applyBorder="1" applyAlignment="1">
      <alignment horizontal="center"/>
    </xf>
    <xf numFmtId="0" fontId="0" fillId="2" borderId="25" xfId="0" applyFill="1" applyBorder="1"/>
    <xf numFmtId="0" fontId="0" fillId="0" borderId="0" xfId="0" applyAlignment="1">
      <alignment wrapText="1"/>
    </xf>
    <xf numFmtId="3" fontId="0" fillId="0" borderId="8" xfId="0" applyNumberFormat="1" applyBorder="1" applyAlignment="1">
      <alignment horizontal="center" vertical="center"/>
    </xf>
    <xf numFmtId="43" fontId="0" fillId="0" borderId="0" xfId="0" applyNumberFormat="1"/>
    <xf numFmtId="3" fontId="0" fillId="2" borderId="32" xfId="0" applyNumberFormat="1" applyFill="1" applyBorder="1" applyAlignment="1">
      <alignment horizontal="center"/>
    </xf>
    <xf numFmtId="9" fontId="22" fillId="0" borderId="0" xfId="2" applyFont="1" applyAlignment="1">
      <alignment horizontal="center"/>
    </xf>
    <xf numFmtId="1" fontId="0" fillId="0" borderId="8" xfId="0" applyNumberFormat="1" applyBorder="1" applyAlignment="1">
      <alignment horizontal="center"/>
    </xf>
    <xf numFmtId="164" fontId="0" fillId="0" borderId="0" xfId="0" applyNumberFormat="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21" xfId="0" applyFill="1" applyBorder="1" applyAlignment="1">
      <alignment horizontal="center"/>
    </xf>
    <xf numFmtId="0" fontId="22" fillId="0" borderId="10" xfId="0" applyFont="1" applyBorder="1" applyAlignment="1">
      <alignment horizontal="center"/>
    </xf>
    <xf numFmtId="0" fontId="0" fillId="2" borderId="8" xfId="0" applyFill="1" applyBorder="1" applyAlignment="1">
      <alignment horizontal="center"/>
    </xf>
    <xf numFmtId="0" fontId="0" fillId="2" borderId="0" xfId="0" applyFill="1" applyAlignment="1">
      <alignment horizontal="center"/>
    </xf>
    <xf numFmtId="0" fontId="0" fillId="2" borderId="22" xfId="0" applyFill="1" applyBorder="1" applyAlignment="1">
      <alignment horizontal="center"/>
    </xf>
    <xf numFmtId="0" fontId="22" fillId="0" borderId="0" xfId="0" applyFont="1" applyAlignment="1">
      <alignment horizontal="center"/>
    </xf>
    <xf numFmtId="0" fontId="0" fillId="2" borderId="23" xfId="0" applyFill="1" applyBorder="1" applyAlignment="1">
      <alignment horizontal="center" wrapText="1"/>
    </xf>
    <xf numFmtId="0" fontId="0" fillId="2" borderId="24" xfId="0" applyFill="1" applyBorder="1" applyAlignment="1">
      <alignment horizontal="center" wrapText="1"/>
    </xf>
    <xf numFmtId="0" fontId="0" fillId="2" borderId="25" xfId="0" applyFill="1" applyBorder="1" applyAlignment="1">
      <alignment horizontal="center" wrapText="1"/>
    </xf>
    <xf numFmtId="3" fontId="0" fillId="0" borderId="23" xfId="0" applyNumberFormat="1" applyBorder="1" applyAlignment="1">
      <alignment horizontal="center"/>
    </xf>
    <xf numFmtId="0" fontId="0" fillId="0" borderId="23" xfId="0" applyBorder="1" applyAlignment="1">
      <alignment horizontal="center"/>
    </xf>
    <xf numFmtId="165" fontId="0" fillId="0" borderId="10" xfId="2" applyNumberFormat="1" applyFont="1" applyBorder="1" applyAlignment="1">
      <alignment horizontal="center"/>
    </xf>
    <xf numFmtId="3" fontId="0" fillId="0" borderId="29" xfId="0" applyNumberFormat="1" applyBorder="1" applyAlignment="1">
      <alignment horizontal="center"/>
    </xf>
    <xf numFmtId="0" fontId="22" fillId="0" borderId="8" xfId="0" applyFont="1" applyBorder="1"/>
    <xf numFmtId="0" fontId="0" fillId="0" borderId="0" xfId="0" applyAlignment="1">
      <alignment horizontal="left" wrapText="1"/>
    </xf>
    <xf numFmtId="165" fontId="0" fillId="0" borderId="14" xfId="2" applyNumberFormat="1" applyFont="1" applyBorder="1" applyAlignment="1">
      <alignment horizontal="center"/>
    </xf>
    <xf numFmtId="0" fontId="39" fillId="0" borderId="0" xfId="0" applyFont="1"/>
    <xf numFmtId="0" fontId="0" fillId="5" borderId="26" xfId="0" applyFill="1" applyBorder="1" applyAlignment="1">
      <alignment horizontal="center"/>
    </xf>
    <xf numFmtId="0" fontId="0" fillId="0" borderId="31" xfId="0" applyBorder="1" applyAlignment="1">
      <alignment horizontal="center"/>
    </xf>
    <xf numFmtId="4" fontId="0" fillId="2" borderId="9" xfId="0" applyNumberFormat="1" applyFill="1" applyBorder="1" applyAlignment="1">
      <alignment horizontal="center"/>
    </xf>
    <xf numFmtId="4" fontId="0" fillId="2" borderId="8" xfId="0" applyNumberFormat="1" applyFill="1" applyBorder="1" applyAlignment="1">
      <alignment horizontal="center"/>
    </xf>
    <xf numFmtId="49" fontId="0" fillId="2" borderId="0" xfId="0" applyNumberFormat="1" applyFill="1"/>
    <xf numFmtId="179" fontId="0" fillId="2" borderId="0" xfId="0" applyNumberFormat="1" applyFill="1" applyAlignment="1">
      <alignment horizontal="center"/>
    </xf>
    <xf numFmtId="165" fontId="5" fillId="0" borderId="14" xfId="2" applyNumberFormat="1" applyFont="1" applyBorder="1" applyAlignment="1">
      <alignment horizontal="center"/>
    </xf>
    <xf numFmtId="9" fontId="0" fillId="2" borderId="0" xfId="0" applyNumberFormat="1" applyFill="1"/>
    <xf numFmtId="179" fontId="0" fillId="0" borderId="0" xfId="0" applyNumberFormat="1"/>
    <xf numFmtId="164" fontId="0" fillId="0" borderId="14" xfId="0" applyNumberFormat="1" applyBorder="1" applyAlignment="1">
      <alignment horizontal="center"/>
    </xf>
    <xf numFmtId="165" fontId="0" fillId="0" borderId="0" xfId="2" applyNumberFormat="1" applyFont="1"/>
    <xf numFmtId="0" fontId="0" fillId="2" borderId="30" xfId="0" applyFill="1" applyBorder="1" applyAlignment="1">
      <alignment horizontal="center"/>
    </xf>
    <xf numFmtId="0" fontId="0" fillId="2" borderId="23" xfId="0" applyFill="1" applyBorder="1" applyAlignment="1">
      <alignment horizontal="center"/>
    </xf>
    <xf numFmtId="0" fontId="0" fillId="2" borderId="24" xfId="0" applyFill="1" applyBorder="1" applyAlignment="1">
      <alignment horizontal="center"/>
    </xf>
    <xf numFmtId="0" fontId="0" fillId="2" borderId="32" xfId="0" applyFill="1" applyBorder="1" applyAlignment="1">
      <alignment horizontal="center" wrapText="1"/>
    </xf>
  </cellXfs>
  <cellStyles count="6">
    <cellStyle name="Comma" xfId="1" builtinId="3"/>
    <cellStyle name="Hyperlink 2" xfId="5" xr:uid="{1A71EC24-9850-DD4B-AF47-3087F228DAA7}"/>
    <cellStyle name="Normal" xfId="0" builtinId="0"/>
    <cellStyle name="Normal 2 2" xfId="3" xr:uid="{3839274A-215B-4A45-B868-4F71CB5EAABB}"/>
    <cellStyle name="Normal 4" xfId="4" xr:uid="{AC58D157-80FB-4243-9525-C879868DA87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Normalized Residual vs Calendar Year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'Q #3'!$S$23</c:f>
              <c:strCache>
                <c:ptCount val="1"/>
                <c:pt idx="0">
                  <c:v>Normalized Residual</c:v>
                </c:pt>
              </c:strCache>
            </c:strRef>
          </c:tx>
          <c:spPr>
            <a:ln w="19050" cap="rnd">
              <a:solidFill>
                <a:schemeClr val="accent1"/>
              </a:solidFill>
              <a:round/>
            </a:ln>
            <a:effectLst/>
          </c:spPr>
          <c:marker>
            <c:symbol val="circle"/>
            <c:size val="5"/>
            <c:spPr>
              <a:solidFill>
                <a:schemeClr val="tx1"/>
              </a:solidFill>
              <a:ln w="9525">
                <a:noFill/>
              </a:ln>
              <a:effectLst/>
            </c:spPr>
          </c:marker>
          <c:xVal>
            <c:numRef>
              <c:f>'Q #3'!$R$24:$R$29</c:f>
            </c:numRef>
          </c:xVal>
          <c:yVal>
            <c:numRef>
              <c:f>'Q #3'!$S$24:$S$29</c:f>
            </c:numRef>
          </c:yVal>
          <c:smooth val="0"/>
          <c:extLst>
            <c:ext xmlns:c16="http://schemas.microsoft.com/office/drawing/2014/chart" uri="{C3380CC4-5D6E-409C-BE32-E72D297353CC}">
              <c16:uniqueId val="{00000000-52D3-9C46-852B-141D7DF6316D}"/>
            </c:ext>
          </c:extLst>
        </c:ser>
        <c:dLbls>
          <c:showLegendKey val="0"/>
          <c:showVal val="0"/>
          <c:showCatName val="0"/>
          <c:showSerName val="0"/>
          <c:showPercent val="0"/>
          <c:showBubbleSize val="0"/>
        </c:dLbls>
        <c:axId val="1553893519"/>
        <c:axId val="1553469583"/>
      </c:scatterChart>
      <c:valAx>
        <c:axId val="155389351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3469583"/>
        <c:crosses val="autoZero"/>
        <c:crossBetween val="midCat"/>
        <c:majorUnit val="1"/>
      </c:valAx>
      <c:valAx>
        <c:axId val="155346958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Normalized</a:t>
                </a:r>
                <a:r>
                  <a:rPr lang="en-US" baseline="0"/>
                  <a:t> Residual</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389351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scatterChart>
        <c:scatterStyle val="lineMarker"/>
        <c:varyColors val="0"/>
        <c:ser>
          <c:idx val="0"/>
          <c:order val="0"/>
          <c:spPr>
            <a:ln w="22225" cap="rnd">
              <a:solidFill>
                <a:schemeClr val="dk1">
                  <a:tint val="88500"/>
                </a:schemeClr>
              </a:solidFill>
              <a:round/>
            </a:ln>
            <a:effectLst/>
          </c:spPr>
          <c:marker>
            <c:symbol val="circle"/>
            <c:size val="6"/>
            <c:spPr>
              <a:solidFill>
                <a:schemeClr val="tx1"/>
              </a:solidFill>
              <a:ln w="9525">
                <a:solidFill>
                  <a:schemeClr val="tx1"/>
                </a:solidFill>
                <a:round/>
              </a:ln>
              <a:effectLst/>
            </c:spPr>
          </c:marker>
          <c:xVal>
            <c:numRef>
              <c:f>'2013 #3'!$M$40:$O$40</c:f>
            </c:numRef>
          </c:xVal>
          <c:yVal>
            <c:numRef>
              <c:f>'2013 #3'!$M$41:$O$41</c:f>
            </c:numRef>
          </c:yVal>
          <c:smooth val="0"/>
          <c:extLst>
            <c:ext xmlns:c16="http://schemas.microsoft.com/office/drawing/2014/chart" uri="{C3380CC4-5D6E-409C-BE32-E72D297353CC}">
              <c16:uniqueId val="{00000000-3E11-8E48-A9AE-8394392C8487}"/>
            </c:ext>
          </c:extLst>
        </c:ser>
        <c:ser>
          <c:idx val="1"/>
          <c:order val="1"/>
          <c:spPr>
            <a:ln w="22225" cap="rnd">
              <a:solidFill>
                <a:schemeClr val="dk1">
                  <a:tint val="55000"/>
                </a:schemeClr>
              </a:solidFill>
              <a:round/>
            </a:ln>
            <a:effectLst/>
          </c:spPr>
          <c:marker>
            <c:symbol val="circle"/>
            <c:size val="6"/>
            <c:spPr>
              <a:solidFill>
                <a:schemeClr val="tx1"/>
              </a:solidFill>
              <a:ln w="9525">
                <a:solidFill>
                  <a:schemeClr val="tx1"/>
                </a:solidFill>
                <a:round/>
              </a:ln>
              <a:effectLst/>
            </c:spPr>
          </c:marker>
          <c:xVal>
            <c:numRef>
              <c:f>'2013 #3'!$M$40:$O$40</c:f>
            </c:numRef>
          </c:xVal>
          <c:yVal>
            <c:numRef>
              <c:f>'2013 #3'!$M$42:$O$42</c:f>
            </c:numRef>
          </c:yVal>
          <c:smooth val="0"/>
          <c:extLst>
            <c:ext xmlns:c16="http://schemas.microsoft.com/office/drawing/2014/chart" uri="{C3380CC4-5D6E-409C-BE32-E72D297353CC}">
              <c16:uniqueId val="{00000001-3E11-8E48-A9AE-8394392C8487}"/>
            </c:ext>
          </c:extLst>
        </c:ser>
        <c:ser>
          <c:idx val="2"/>
          <c:order val="2"/>
          <c:spPr>
            <a:ln w="22225" cap="rnd">
              <a:solidFill>
                <a:schemeClr val="dk1">
                  <a:tint val="75000"/>
                </a:schemeClr>
              </a:solidFill>
              <a:round/>
            </a:ln>
            <a:effectLst/>
          </c:spPr>
          <c:marker>
            <c:symbol val="circle"/>
            <c:size val="6"/>
            <c:spPr>
              <a:solidFill>
                <a:schemeClr val="tx1"/>
              </a:solidFill>
              <a:ln w="9525">
                <a:solidFill>
                  <a:schemeClr val="tx1"/>
                </a:solidFill>
                <a:round/>
              </a:ln>
              <a:effectLst/>
            </c:spPr>
          </c:marker>
          <c:xVal>
            <c:numRef>
              <c:f>'2013 #3'!$M$40:$O$40</c:f>
            </c:numRef>
          </c:xVal>
          <c:yVal>
            <c:numRef>
              <c:f>'2013 #3'!$M$43:$O$43</c:f>
            </c:numRef>
          </c:yVal>
          <c:smooth val="0"/>
          <c:extLst>
            <c:ext xmlns:c16="http://schemas.microsoft.com/office/drawing/2014/chart" uri="{C3380CC4-5D6E-409C-BE32-E72D297353CC}">
              <c16:uniqueId val="{00000002-3E11-8E48-A9AE-8394392C8487}"/>
            </c:ext>
          </c:extLst>
        </c:ser>
        <c:dLbls>
          <c:showLegendKey val="0"/>
          <c:showVal val="0"/>
          <c:showCatName val="0"/>
          <c:showSerName val="0"/>
          <c:showPercent val="0"/>
          <c:showBubbleSize val="0"/>
        </c:dLbls>
        <c:axId val="597594384"/>
        <c:axId val="597594744"/>
      </c:scatterChart>
      <c:valAx>
        <c:axId val="597594384"/>
        <c:scaling>
          <c:orientation val="minMax"/>
          <c:max val="36"/>
        </c:scaling>
        <c:delete val="0"/>
        <c:axPos val="b"/>
        <c:title>
          <c:tx>
            <c:rich>
              <a:bodyPr rot="0" spcFirstLastPara="1" vertOverflow="ellipsis" vert="horz" wrap="square" anchor="ctr" anchorCtr="1"/>
              <a:lstStyle/>
              <a:p>
                <a:pPr>
                  <a:defRPr sz="1200" b="0" i="0" u="none" strike="noStrike" kern="1200" cap="all" baseline="0">
                    <a:solidFill>
                      <a:sysClr val="windowText" lastClr="000000"/>
                    </a:solidFill>
                    <a:latin typeface="+mn-lt"/>
                    <a:ea typeface="+mn-ea"/>
                    <a:cs typeface="+mn-cs"/>
                  </a:defRPr>
                </a:pPr>
                <a:r>
                  <a:rPr lang="en-GB" sz="1200">
                    <a:solidFill>
                      <a:sysClr val="windowText" lastClr="000000"/>
                    </a:solidFill>
                  </a:rPr>
                  <a:t>Increment Age</a:t>
                </a:r>
              </a:p>
            </c:rich>
          </c:tx>
          <c:overlay val="0"/>
          <c:spPr>
            <a:noFill/>
            <a:ln>
              <a:noFill/>
            </a:ln>
            <a:effectLst/>
          </c:spPr>
          <c:txPr>
            <a:bodyPr rot="0" spcFirstLastPara="1" vertOverflow="ellipsis" vert="horz" wrap="square" anchor="ctr" anchorCtr="1"/>
            <a:lstStyle/>
            <a:p>
              <a:pPr>
                <a:defRPr sz="1200" b="0" i="0" u="none" strike="noStrike" kern="1200" cap="all" baseline="0">
                  <a:solidFill>
                    <a:sysClr val="windowText" lastClr="000000"/>
                  </a:solidFill>
                  <a:latin typeface="+mn-lt"/>
                  <a:ea typeface="+mn-ea"/>
                  <a:cs typeface="+mn-cs"/>
                </a:defRPr>
              </a:pPr>
              <a:endParaRPr lang="en-US"/>
            </a:p>
          </c:txPr>
        </c:title>
        <c:numFmt formatCode="General" sourceLinked="1"/>
        <c:majorTickMark val="cross"/>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cap="all" spc="120" normalizeH="0" baseline="0">
                <a:solidFill>
                  <a:schemeClr val="tx1">
                    <a:lumMod val="65000"/>
                    <a:lumOff val="35000"/>
                  </a:schemeClr>
                </a:solidFill>
                <a:latin typeface="+mn-lt"/>
                <a:ea typeface="+mn-ea"/>
                <a:cs typeface="+mn-cs"/>
              </a:defRPr>
            </a:pPr>
            <a:endParaRPr lang="en-US"/>
          </a:p>
        </c:txPr>
        <c:crossAx val="597594744"/>
        <c:crosses val="autoZero"/>
        <c:crossBetween val="midCat"/>
        <c:majorUnit val="12"/>
      </c:valAx>
      <c:valAx>
        <c:axId val="597594744"/>
        <c:scaling>
          <c:orientation val="minMax"/>
          <c:max val="1"/>
          <c:min val="-0.5"/>
        </c:scaling>
        <c:delete val="0"/>
        <c:axPos val="l"/>
        <c:title>
          <c:tx>
            <c:rich>
              <a:bodyPr rot="-5400000" spcFirstLastPara="1" vertOverflow="ellipsis" vert="horz" wrap="square" anchor="ctr" anchorCtr="1"/>
              <a:lstStyle/>
              <a:p>
                <a:pPr>
                  <a:defRPr sz="1200" b="0" i="0" u="none" strike="noStrike" kern="1200" cap="all" baseline="0">
                    <a:solidFill>
                      <a:sysClr val="windowText" lastClr="000000"/>
                    </a:solidFill>
                    <a:latin typeface="+mn-lt"/>
                    <a:ea typeface="+mn-ea"/>
                    <a:cs typeface="+mn-cs"/>
                  </a:defRPr>
                </a:pPr>
                <a:r>
                  <a:rPr lang="en-GB" sz="1200">
                    <a:solidFill>
                      <a:sysClr val="windowText" lastClr="000000"/>
                    </a:solidFill>
                  </a:rPr>
                  <a:t>Normalized Residuals</a:t>
                </a:r>
              </a:p>
            </c:rich>
          </c:tx>
          <c:overlay val="0"/>
          <c:spPr>
            <a:noFill/>
            <a:ln>
              <a:noFill/>
            </a:ln>
            <a:effectLst/>
          </c:spPr>
          <c:txPr>
            <a:bodyPr rot="-5400000" spcFirstLastPara="1" vertOverflow="ellipsis" vert="horz" wrap="square" anchor="ctr" anchorCtr="1"/>
            <a:lstStyle/>
            <a:p>
              <a:pPr>
                <a:defRPr sz="1200" b="0" i="0" u="none" strike="noStrike" kern="1200" cap="all" baseline="0">
                  <a:solidFill>
                    <a:sysClr val="windowText" lastClr="000000"/>
                  </a:solidFill>
                  <a:latin typeface="+mn-lt"/>
                  <a:ea typeface="+mn-ea"/>
                  <a:cs typeface="+mn-cs"/>
                </a:defRPr>
              </a:pPr>
              <a:endParaRPr lang="en-US"/>
            </a:p>
          </c:txPr>
        </c:title>
        <c:numFmt formatCode="#,##0.00" sourceLinked="0"/>
        <c:majorTickMark val="cross"/>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97594384"/>
        <c:crosses val="autoZero"/>
        <c:crossBetween val="midCat"/>
        <c:majorUnit val="0.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457200</xdr:colOff>
      <xdr:row>0</xdr:row>
      <xdr:rowOff>98404</xdr:rowOff>
    </xdr:from>
    <xdr:to>
      <xdr:col>4</xdr:col>
      <xdr:colOff>80818</xdr:colOff>
      <xdr:row>4</xdr:row>
      <xdr:rowOff>180253</xdr:rowOff>
    </xdr:to>
    <xdr:pic>
      <xdr:nvPicPr>
        <xdr:cNvPr id="2" name="Picture 1">
          <a:extLst>
            <a:ext uri="{FF2B5EF4-FFF2-40B4-BE49-F238E27FC236}">
              <a16:creationId xmlns:a16="http://schemas.microsoft.com/office/drawing/2014/main" id="{ECEB5335-99FB-D847-A270-B757A4D8C501}"/>
            </a:ext>
          </a:extLst>
        </xdr:cNvPr>
        <xdr:cNvPicPr>
          <a:picLocks noChangeAspect="1"/>
        </xdr:cNvPicPr>
      </xdr:nvPicPr>
      <xdr:blipFill>
        <a:blip xmlns:r="http://schemas.openxmlformats.org/officeDocument/2006/relationships" r:embed="rId1"/>
        <a:stretch>
          <a:fillRect/>
        </a:stretch>
      </xdr:blipFill>
      <xdr:spPr>
        <a:xfrm>
          <a:off x="457200" y="98404"/>
          <a:ext cx="2874818" cy="8692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171450</xdr:colOff>
      <xdr:row>39</xdr:row>
      <xdr:rowOff>69849</xdr:rowOff>
    </xdr:from>
    <xdr:to>
      <xdr:col>13</xdr:col>
      <xdr:colOff>45640</xdr:colOff>
      <xdr:row>41</xdr:row>
      <xdr:rowOff>129793</xdr:rowOff>
    </xdr:to>
    <mc:AlternateContent xmlns:mc="http://schemas.openxmlformats.org/markup-compatibility/2006">
      <mc:Choice xmlns:a14="http://schemas.microsoft.com/office/drawing/2010/main" Requires="a14">
        <xdr:sp macro="" textlink="">
          <xdr:nvSpPr>
            <xdr:cNvPr id="2" name="TextBox 1">
              <a:extLst>
                <a:ext uri="{FF2B5EF4-FFF2-40B4-BE49-F238E27FC236}">
                  <a16:creationId xmlns:a16="http://schemas.microsoft.com/office/drawing/2014/main" id="{E7961CBD-BD6C-354F-9A71-82559F4D20A4}"/>
                </a:ext>
              </a:extLst>
            </xdr:cNvPr>
            <xdr:cNvSpPr txBox="1"/>
          </xdr:nvSpPr>
          <xdr:spPr>
            <a:xfrm>
              <a:off x="9391650" y="7994649"/>
              <a:ext cx="1550590" cy="46634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p>
                      <m:sSupPr>
                        <m:ctrlPr>
                          <a:rPr lang="en-US" sz="1200" b="0" i="1">
                            <a:latin typeface="Cambria Math" panose="02040503050406030204" pitchFamily="18" charset="0"/>
                            <a:ea typeface="Cambria Math" panose="02040503050406030204" pitchFamily="18" charset="0"/>
                          </a:rPr>
                        </m:ctrlPr>
                      </m:sSupPr>
                      <m:e>
                        <m:r>
                          <a:rPr lang="en-US" sz="1200" i="1">
                            <a:latin typeface="Cambria Math" panose="02040503050406030204" pitchFamily="18" charset="0"/>
                            <a:ea typeface="Cambria Math" panose="02040503050406030204" pitchFamily="18" charset="0"/>
                          </a:rPr>
                          <m:t>𝜎</m:t>
                        </m:r>
                      </m:e>
                      <m:sup>
                        <m:r>
                          <a:rPr lang="en-US" sz="1200" b="0" i="1">
                            <a:latin typeface="Cambria Math" panose="02040503050406030204" pitchFamily="18" charset="0"/>
                            <a:ea typeface="Cambria Math" panose="02040503050406030204" pitchFamily="18" charset="0"/>
                          </a:rPr>
                          <m:t>2</m:t>
                        </m:r>
                      </m:sup>
                    </m:sSup>
                    <m:r>
                      <a:rPr lang="en-US" sz="1200" b="0" i="1">
                        <a:latin typeface="Cambria Math" panose="02040503050406030204" pitchFamily="18" charset="0"/>
                        <a:ea typeface="Cambria Math" panose="02040503050406030204" pitchFamily="18" charset="0"/>
                      </a:rPr>
                      <m:t>=</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1</m:t>
                        </m:r>
                      </m:num>
                      <m:den>
                        <m:r>
                          <a:rPr lang="en-US" sz="1200" b="0" i="1">
                            <a:latin typeface="Cambria Math" panose="02040503050406030204" pitchFamily="18" charset="0"/>
                            <a:ea typeface="Cambria Math" panose="02040503050406030204" pitchFamily="18" charset="0"/>
                          </a:rPr>
                          <m:t>𝑛</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𝑝</m:t>
                        </m:r>
                      </m:den>
                    </m:f>
                    <m:nary>
                      <m:naryPr>
                        <m:chr m:val="∑"/>
                        <m:subHide m:val="on"/>
                        <m:supHide m:val="on"/>
                        <m:ctrlPr>
                          <a:rPr lang="en-US" sz="1200" b="0" i="1">
                            <a:latin typeface="Cambria Math" panose="02040503050406030204" pitchFamily="18" charset="0"/>
                            <a:ea typeface="Cambria Math" panose="02040503050406030204" pitchFamily="18" charset="0"/>
                          </a:rPr>
                        </m:ctrlPr>
                      </m:naryPr>
                      <m:sub/>
                      <m:sup/>
                      <m:e>
                        <m:f>
                          <m:fPr>
                            <m:ctrlPr>
                              <a:rPr lang="en-US" sz="1200" b="0" i="1">
                                <a:latin typeface="Cambria Math" panose="02040503050406030204" pitchFamily="18" charset="0"/>
                                <a:ea typeface="Cambria Math" panose="02040503050406030204" pitchFamily="18" charset="0"/>
                              </a:rPr>
                            </m:ctrlPr>
                          </m:fPr>
                          <m:num>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𝐼𝑛𝑐𝐿𝑜𝑠𝑠</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𝜇</m:t>
                                    </m:r>
                                  </m:e>
                                </m:d>
                              </m:e>
                              <m:sup>
                                <m:r>
                                  <a:rPr lang="en-US" sz="1200" b="0" i="1">
                                    <a:latin typeface="Cambria Math" panose="02040503050406030204" pitchFamily="18" charset="0"/>
                                    <a:ea typeface="Cambria Math" panose="02040503050406030204" pitchFamily="18" charset="0"/>
                                  </a:rPr>
                                  <m:t>2</m:t>
                                </m:r>
                              </m:sup>
                            </m:sSup>
                          </m:num>
                          <m:den>
                            <m:r>
                              <a:rPr lang="en-US" sz="1200" b="0" i="1">
                                <a:latin typeface="Cambria Math" panose="02040503050406030204" pitchFamily="18" charset="0"/>
                                <a:ea typeface="Cambria Math" panose="02040503050406030204" pitchFamily="18" charset="0"/>
                              </a:rPr>
                              <m:t>𝜇</m:t>
                            </m:r>
                          </m:den>
                        </m:f>
                      </m:e>
                    </m:nary>
                  </m:oMath>
                </m:oMathPara>
              </a14:m>
              <a:endParaRPr lang="en-US" sz="1200"/>
            </a:p>
          </xdr:txBody>
        </xdr:sp>
      </mc:Choice>
      <mc:Fallback>
        <xdr:sp macro="" textlink="">
          <xdr:nvSpPr>
            <xdr:cNvPr id="2" name="TextBox 1">
              <a:extLst>
                <a:ext uri="{FF2B5EF4-FFF2-40B4-BE49-F238E27FC236}">
                  <a16:creationId xmlns:a16="http://schemas.microsoft.com/office/drawing/2014/main" id="{E7961CBD-BD6C-354F-9A71-82559F4D20A4}"/>
                </a:ext>
              </a:extLst>
            </xdr:cNvPr>
            <xdr:cNvSpPr txBox="1"/>
          </xdr:nvSpPr>
          <xdr:spPr>
            <a:xfrm>
              <a:off x="9391650" y="7994649"/>
              <a:ext cx="1550590" cy="46634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200" i="0">
                  <a:latin typeface="Cambria Math" panose="02040503050406030204" pitchFamily="18" charset="0"/>
                  <a:ea typeface="Cambria Math" panose="02040503050406030204" pitchFamily="18" charset="0"/>
                </a:rPr>
                <a:t>𝜎</a:t>
              </a:r>
              <a:r>
                <a:rPr lang="en-US" sz="1200" b="0" i="0">
                  <a:latin typeface="Cambria Math" panose="02040503050406030204" pitchFamily="18" charset="0"/>
                  <a:ea typeface="Cambria Math" panose="02040503050406030204" pitchFamily="18" charset="0"/>
                </a:rPr>
                <a:t>^2=1/(𝑛−𝑝) ∑▒(𝐼𝑛𝑐𝐿𝑜𝑠𝑠−𝜇)^2/𝜇</a:t>
              </a:r>
              <a:endParaRPr lang="en-US" sz="1200"/>
            </a:p>
          </xdr:txBody>
        </xdr:sp>
      </mc:Fallback>
    </mc:AlternateContent>
    <xdr:clientData/>
  </xdr:twoCellAnchor>
</xdr:wsDr>
</file>

<file path=xl/drawings/drawing11.xml><?xml version="1.0" encoding="utf-8"?>
<xdr:wsDr xmlns:xdr="http://schemas.openxmlformats.org/drawingml/2006/spreadsheetDrawing" xmlns:a="http://schemas.openxmlformats.org/drawingml/2006/main">
  <xdr:oneCellAnchor>
    <xdr:from>
      <xdr:col>3</xdr:col>
      <xdr:colOff>595313</xdr:colOff>
      <xdr:row>16</xdr:row>
      <xdr:rowOff>142876</xdr:rowOff>
    </xdr:from>
    <xdr:ext cx="1747838" cy="361949"/>
    <xdr:sp macro="" textlink="">
      <xdr:nvSpPr>
        <xdr:cNvPr id="2" name="TextBox 1">
          <a:extLst>
            <a:ext uri="{FF2B5EF4-FFF2-40B4-BE49-F238E27FC236}">
              <a16:creationId xmlns:a16="http://schemas.microsoft.com/office/drawing/2014/main" id="{4138B7E0-C065-E448-A274-41132E52B092}"/>
            </a:ext>
          </a:extLst>
        </xdr:cNvPr>
        <xdr:cNvSpPr txBox="1"/>
      </xdr:nvSpPr>
      <xdr:spPr>
        <a:xfrm>
          <a:off x="3109913" y="3394076"/>
          <a:ext cx="1747838" cy="361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endParaRPr lang="en-IN" sz="1400" i="1"/>
        </a:p>
      </xdr:txBody>
    </xdr:sp>
    <xdr:clientData/>
  </xdr:oneCellAnchor>
  <xdr:oneCellAnchor>
    <xdr:from>
      <xdr:col>3</xdr:col>
      <xdr:colOff>635000</xdr:colOff>
      <xdr:row>16</xdr:row>
      <xdr:rowOff>177800</xdr:rowOff>
    </xdr:from>
    <xdr:ext cx="1341329" cy="373244"/>
    <mc:AlternateContent xmlns:mc="http://schemas.openxmlformats.org/markup-compatibility/2006">
      <mc:Choice xmlns:a14="http://schemas.microsoft.com/office/drawing/2010/main" Requires="a14">
        <xdr:sp macro="" textlink="">
          <xdr:nvSpPr>
            <xdr:cNvPr id="3" name="TextBox 2">
              <a:extLst>
                <a:ext uri="{FF2B5EF4-FFF2-40B4-BE49-F238E27FC236}">
                  <a16:creationId xmlns:a16="http://schemas.microsoft.com/office/drawing/2014/main" id="{D8A5B35D-01F5-144A-8FB7-DF2064C92379}"/>
                </a:ext>
              </a:extLst>
            </xdr:cNvPr>
            <xdr:cNvSpPr txBox="1"/>
          </xdr:nvSpPr>
          <xdr:spPr>
            <a:xfrm>
              <a:off x="3149600" y="3429000"/>
              <a:ext cx="1341329" cy="373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panose="02040503050406030204" pitchFamily="18" charset="0"/>
                      </a:rPr>
                      <m:t>𝐺</m:t>
                    </m:r>
                    <m:d>
                      <m:dPr>
                        <m:ctrlPr>
                          <a:rPr lang="en-US" sz="1200" b="0" i="1">
                            <a:latin typeface="Cambria Math" panose="02040503050406030204" pitchFamily="18" charset="0"/>
                          </a:rPr>
                        </m:ctrlPr>
                      </m:dPr>
                      <m:e>
                        <m:r>
                          <a:rPr lang="en-US" sz="1200" b="0" i="1">
                            <a:latin typeface="Cambria Math" panose="02040503050406030204" pitchFamily="18" charset="0"/>
                          </a:rPr>
                          <m:t>𝑥</m:t>
                        </m:r>
                      </m:e>
                    </m:d>
                    <m:r>
                      <a:rPr lang="en-US" sz="1200" b="0" i="1">
                        <a:latin typeface="Cambria Math" panose="02040503050406030204" pitchFamily="18" charset="0"/>
                      </a:rPr>
                      <m:t>=</m:t>
                    </m:r>
                    <m:f>
                      <m:fPr>
                        <m:ctrlPr>
                          <a:rPr lang="en-US" sz="1200" b="0" i="1">
                            <a:latin typeface="Cambria Math" panose="02040503050406030204" pitchFamily="18" charset="0"/>
                          </a:rPr>
                        </m:ctrlPr>
                      </m:fPr>
                      <m:num>
                        <m:sSup>
                          <m:sSupPr>
                            <m:ctrlPr>
                              <a:rPr lang="en-US" sz="1200" b="0" i="1">
                                <a:latin typeface="Cambria Math" panose="02040503050406030204" pitchFamily="18" charset="0"/>
                              </a:rPr>
                            </m:ctrlPr>
                          </m:sSupPr>
                          <m:e>
                            <m:r>
                              <a:rPr lang="en-US" sz="1200" b="0" i="1">
                                <a:latin typeface="Cambria Math" panose="02040503050406030204" pitchFamily="18" charset="0"/>
                              </a:rPr>
                              <m:t>𝑥</m:t>
                            </m:r>
                          </m:e>
                          <m:sup>
                            <m:r>
                              <a:rPr lang="en-US" sz="1200" b="0" i="1">
                                <a:latin typeface="Cambria Math" panose="02040503050406030204" pitchFamily="18" charset="0"/>
                              </a:rPr>
                              <m:t>1.1</m:t>
                            </m:r>
                          </m:sup>
                        </m:sSup>
                      </m:num>
                      <m:den>
                        <m:sSup>
                          <m:sSupPr>
                            <m:ctrlPr>
                              <a:rPr lang="en-US" sz="1200" b="0" i="1">
                                <a:latin typeface="Cambria Math" panose="02040503050406030204" pitchFamily="18" charset="0"/>
                              </a:rPr>
                            </m:ctrlPr>
                          </m:sSupPr>
                          <m:e>
                            <m:r>
                              <a:rPr lang="en-US" sz="1200" b="0" i="1">
                                <a:latin typeface="Cambria Math" panose="02040503050406030204" pitchFamily="18" charset="0"/>
                              </a:rPr>
                              <m:t>𝑥</m:t>
                            </m:r>
                          </m:e>
                          <m:sup>
                            <m:r>
                              <a:rPr lang="en-US" sz="1200" b="0" i="1">
                                <a:latin typeface="Cambria Math" panose="02040503050406030204" pitchFamily="18" charset="0"/>
                              </a:rPr>
                              <m:t>1.1</m:t>
                            </m:r>
                          </m:sup>
                        </m:sSup>
                        <m:r>
                          <a:rPr lang="en-US" sz="1200" b="0" i="1">
                            <a:latin typeface="Cambria Math" panose="02040503050406030204" pitchFamily="18" charset="0"/>
                          </a:rPr>
                          <m:t>+</m:t>
                        </m:r>
                        <m:sSup>
                          <m:sSupPr>
                            <m:ctrlPr>
                              <a:rPr lang="en-US" sz="1200" b="0" i="1">
                                <a:latin typeface="Cambria Math" panose="02040503050406030204" pitchFamily="18" charset="0"/>
                              </a:rPr>
                            </m:ctrlPr>
                          </m:sSupPr>
                          <m:e>
                            <m:r>
                              <a:rPr lang="en-US" sz="1200" b="0" i="1">
                                <a:latin typeface="Cambria Math" panose="02040503050406030204" pitchFamily="18" charset="0"/>
                              </a:rPr>
                              <m:t>8.0</m:t>
                            </m:r>
                          </m:e>
                          <m:sup>
                            <m:r>
                              <a:rPr lang="en-US" sz="1200" b="0" i="1">
                                <a:latin typeface="Cambria Math" panose="02040503050406030204" pitchFamily="18" charset="0"/>
                              </a:rPr>
                              <m:t>1.1</m:t>
                            </m:r>
                          </m:sup>
                        </m:sSup>
                      </m:den>
                    </m:f>
                  </m:oMath>
                </m:oMathPara>
              </a14:m>
              <a:endParaRPr lang="en-US" sz="1200"/>
            </a:p>
          </xdr:txBody>
        </xdr:sp>
      </mc:Choice>
      <mc:Fallback>
        <xdr:sp macro="" textlink="">
          <xdr:nvSpPr>
            <xdr:cNvPr id="3" name="TextBox 2">
              <a:extLst>
                <a:ext uri="{FF2B5EF4-FFF2-40B4-BE49-F238E27FC236}">
                  <a16:creationId xmlns:a16="http://schemas.microsoft.com/office/drawing/2014/main" id="{D8A5B35D-01F5-144A-8FB7-DF2064C92379}"/>
                </a:ext>
              </a:extLst>
            </xdr:cNvPr>
            <xdr:cNvSpPr txBox="1"/>
          </xdr:nvSpPr>
          <xdr:spPr>
            <a:xfrm>
              <a:off x="3149600" y="3429000"/>
              <a:ext cx="1341329" cy="373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200" b="0" i="0">
                  <a:latin typeface="Cambria Math" panose="02040503050406030204" pitchFamily="18" charset="0"/>
                </a:rPr>
                <a:t>𝐺(𝑥)=𝑥^1.1/(𝑥^1.1+〖8.0〗^1.1 )</a:t>
              </a:r>
              <a:endParaRPr lang="en-US" sz="1200"/>
            </a:p>
          </xdr:txBody>
        </xdr:sp>
      </mc:Fallback>
    </mc:AlternateContent>
    <xdr:clientData/>
  </xdr:oneCellAnchor>
</xdr:wsDr>
</file>

<file path=xl/drawings/drawing12.xml><?xml version="1.0" encoding="utf-8"?>
<xdr:wsDr xmlns:xdr="http://schemas.openxmlformats.org/drawingml/2006/spreadsheetDrawing" xmlns:a="http://schemas.openxmlformats.org/drawingml/2006/main">
  <xdr:oneCellAnchor>
    <xdr:from>
      <xdr:col>2</xdr:col>
      <xdr:colOff>254000</xdr:colOff>
      <xdr:row>13</xdr:row>
      <xdr:rowOff>165100</xdr:rowOff>
    </xdr:from>
    <xdr:ext cx="1309782" cy="373628"/>
    <mc:AlternateContent xmlns:mc="http://schemas.openxmlformats.org/markup-compatibility/2006">
      <mc:Choice xmlns:a14="http://schemas.microsoft.com/office/drawing/2010/main" Requires="a14">
        <xdr:sp macro="" textlink="">
          <xdr:nvSpPr>
            <xdr:cNvPr id="2" name="TextBox 1">
              <a:extLst>
                <a:ext uri="{FF2B5EF4-FFF2-40B4-BE49-F238E27FC236}">
                  <a16:creationId xmlns:a16="http://schemas.microsoft.com/office/drawing/2014/main" id="{7845E11A-82A3-3F47-8476-938CE28C9F75}"/>
                </a:ext>
              </a:extLst>
            </xdr:cNvPr>
            <xdr:cNvSpPr txBox="1"/>
          </xdr:nvSpPr>
          <xdr:spPr>
            <a:xfrm>
              <a:off x="1930400" y="2806700"/>
              <a:ext cx="1309782" cy="373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panose="02040503050406030204" pitchFamily="18" charset="0"/>
                      </a:rPr>
                      <m:t>𝐺</m:t>
                    </m:r>
                    <m:d>
                      <m:dPr>
                        <m:ctrlPr>
                          <a:rPr lang="en-US" sz="1200" b="0" i="1">
                            <a:latin typeface="Cambria Math" panose="02040503050406030204" pitchFamily="18" charset="0"/>
                          </a:rPr>
                        </m:ctrlPr>
                      </m:dPr>
                      <m:e>
                        <m:r>
                          <a:rPr lang="en-US" sz="1200" b="0" i="1">
                            <a:latin typeface="Cambria Math" panose="02040503050406030204" pitchFamily="18" charset="0"/>
                          </a:rPr>
                          <m:t>𝑥</m:t>
                        </m:r>
                      </m:e>
                    </m:d>
                    <m:r>
                      <a:rPr lang="en-US" sz="1200" b="0" i="1">
                        <a:latin typeface="Cambria Math" panose="02040503050406030204" pitchFamily="18" charset="0"/>
                      </a:rPr>
                      <m:t>=</m:t>
                    </m:r>
                    <m:f>
                      <m:fPr>
                        <m:ctrlPr>
                          <a:rPr lang="en-US" sz="1200" b="0" i="1">
                            <a:latin typeface="Cambria Math" panose="02040503050406030204" pitchFamily="18" charset="0"/>
                          </a:rPr>
                        </m:ctrlPr>
                      </m:fPr>
                      <m:num>
                        <m:sSup>
                          <m:sSupPr>
                            <m:ctrlPr>
                              <a:rPr lang="en-US" sz="1200" b="0" i="1">
                                <a:latin typeface="Cambria Math" panose="02040503050406030204" pitchFamily="18" charset="0"/>
                              </a:rPr>
                            </m:ctrlPr>
                          </m:sSupPr>
                          <m:e>
                            <m:r>
                              <a:rPr lang="en-US" sz="1200" b="0" i="1">
                                <a:latin typeface="Cambria Math" panose="02040503050406030204" pitchFamily="18" charset="0"/>
                              </a:rPr>
                              <m:t>𝑥</m:t>
                            </m:r>
                          </m:e>
                          <m:sup>
                            <m:r>
                              <a:rPr lang="en-US" sz="1200" b="0" i="1">
                                <a:latin typeface="Cambria Math" panose="02040503050406030204" pitchFamily="18" charset="0"/>
                              </a:rPr>
                              <m:t>1.8</m:t>
                            </m:r>
                          </m:sup>
                        </m:sSup>
                      </m:num>
                      <m:den>
                        <m:sSup>
                          <m:sSupPr>
                            <m:ctrlPr>
                              <a:rPr lang="en-US" sz="1200" b="0" i="1">
                                <a:latin typeface="Cambria Math" panose="02040503050406030204" pitchFamily="18" charset="0"/>
                              </a:rPr>
                            </m:ctrlPr>
                          </m:sSupPr>
                          <m:e>
                            <m:r>
                              <a:rPr lang="en-US" sz="1200" b="0" i="1">
                                <a:latin typeface="Cambria Math" panose="02040503050406030204" pitchFamily="18" charset="0"/>
                              </a:rPr>
                              <m:t>𝑥</m:t>
                            </m:r>
                          </m:e>
                          <m:sup>
                            <m:r>
                              <a:rPr lang="en-US" sz="1200" b="0" i="1">
                                <a:latin typeface="Cambria Math" panose="02040503050406030204" pitchFamily="18" charset="0"/>
                              </a:rPr>
                              <m:t>1.8</m:t>
                            </m:r>
                          </m:sup>
                        </m:sSup>
                        <m:r>
                          <a:rPr lang="en-US" sz="1200" b="0" i="1">
                            <a:latin typeface="Cambria Math" panose="02040503050406030204" pitchFamily="18" charset="0"/>
                          </a:rPr>
                          <m:t>+</m:t>
                        </m:r>
                        <m:sSup>
                          <m:sSupPr>
                            <m:ctrlPr>
                              <a:rPr lang="en-US" sz="1200" b="0" i="1">
                                <a:latin typeface="Cambria Math" panose="02040503050406030204" pitchFamily="18" charset="0"/>
                              </a:rPr>
                            </m:ctrlPr>
                          </m:sSupPr>
                          <m:e>
                            <m:r>
                              <a:rPr lang="en-US" sz="1200" b="0" i="1">
                                <a:latin typeface="Cambria Math" panose="02040503050406030204" pitchFamily="18" charset="0"/>
                              </a:rPr>
                              <m:t>50</m:t>
                            </m:r>
                          </m:e>
                          <m:sup>
                            <m:r>
                              <a:rPr lang="en-US" sz="1200" b="0" i="1">
                                <a:latin typeface="Cambria Math" panose="02040503050406030204" pitchFamily="18" charset="0"/>
                              </a:rPr>
                              <m:t>1.8</m:t>
                            </m:r>
                          </m:sup>
                        </m:sSup>
                      </m:den>
                    </m:f>
                  </m:oMath>
                </m:oMathPara>
              </a14:m>
              <a:endParaRPr lang="en-US" sz="1200"/>
            </a:p>
          </xdr:txBody>
        </xdr:sp>
      </mc:Choice>
      <mc:Fallback>
        <xdr:sp macro="" textlink="">
          <xdr:nvSpPr>
            <xdr:cNvPr id="2" name="TextBox 1">
              <a:extLst>
                <a:ext uri="{FF2B5EF4-FFF2-40B4-BE49-F238E27FC236}">
                  <a16:creationId xmlns:a16="http://schemas.microsoft.com/office/drawing/2014/main" id="{7845E11A-82A3-3F47-8476-938CE28C9F75}"/>
                </a:ext>
              </a:extLst>
            </xdr:cNvPr>
            <xdr:cNvSpPr txBox="1"/>
          </xdr:nvSpPr>
          <xdr:spPr>
            <a:xfrm>
              <a:off x="1930400" y="2806700"/>
              <a:ext cx="1309782" cy="373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200" b="0" i="0">
                  <a:latin typeface="Cambria Math" panose="02040503050406030204" pitchFamily="18" charset="0"/>
                </a:rPr>
                <a:t>𝐺(𝑥)=𝑥^1.8/(𝑥^1.8+50^1.8 )</a:t>
              </a:r>
              <a:endParaRPr lang="en-US" sz="1200"/>
            </a:p>
          </xdr:txBody>
        </xdr:sp>
      </mc:Fallback>
    </mc:AlternateContent>
    <xdr:clientData/>
  </xdr:oneCellAnchor>
</xdr:wsDr>
</file>

<file path=xl/drawings/drawing13.xml><?xml version="1.0" encoding="utf-8"?>
<xdr:wsDr xmlns:xdr="http://schemas.openxmlformats.org/drawingml/2006/spreadsheetDrawing" xmlns:a="http://schemas.openxmlformats.org/drawingml/2006/main">
  <xdr:oneCellAnchor>
    <xdr:from>
      <xdr:col>2</xdr:col>
      <xdr:colOff>228600</xdr:colOff>
      <xdr:row>10</xdr:row>
      <xdr:rowOff>114300</xdr:rowOff>
    </xdr:from>
    <xdr:ext cx="1200457" cy="344903"/>
    <mc:AlternateContent xmlns:mc="http://schemas.openxmlformats.org/markup-compatibility/2006">
      <mc:Choice xmlns:a14="http://schemas.microsoft.com/office/drawing/2010/main" Requires="a14">
        <xdr:sp macro="" textlink="">
          <xdr:nvSpPr>
            <xdr:cNvPr id="2" name="TextBox 1">
              <a:extLst>
                <a:ext uri="{FF2B5EF4-FFF2-40B4-BE49-F238E27FC236}">
                  <a16:creationId xmlns:a16="http://schemas.microsoft.com/office/drawing/2014/main" id="{524B4CF1-EE46-5644-A866-D6227E08398B}"/>
                </a:ext>
              </a:extLst>
            </xdr:cNvPr>
            <xdr:cNvSpPr txBox="1"/>
          </xdr:nvSpPr>
          <xdr:spPr>
            <a:xfrm>
              <a:off x="1905000" y="2146300"/>
              <a:ext cx="1200457" cy="3449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𝐺</m:t>
                    </m:r>
                    <m:d>
                      <m:dPr>
                        <m:ctrlPr>
                          <a:rPr lang="en-US" sz="1100" b="0" i="1">
                            <a:latin typeface="Cambria Math" panose="02040503050406030204" pitchFamily="18" charset="0"/>
                          </a:rPr>
                        </m:ctrlPr>
                      </m:dPr>
                      <m:e>
                        <m:r>
                          <a:rPr lang="en-US" sz="1100" b="0" i="1">
                            <a:latin typeface="Cambria Math" panose="02040503050406030204" pitchFamily="18" charset="0"/>
                          </a:rPr>
                          <m:t>𝑥</m:t>
                        </m:r>
                      </m:e>
                    </m:d>
                    <m:r>
                      <a:rPr lang="en-US" sz="1100" b="0" i="1">
                        <a:latin typeface="Cambria Math" panose="02040503050406030204" pitchFamily="18" charset="0"/>
                      </a:rPr>
                      <m:t>=</m:t>
                    </m:r>
                    <m:f>
                      <m:fPr>
                        <m:ctrlPr>
                          <a:rPr lang="en-US" sz="1100" b="0" i="1">
                            <a:latin typeface="Cambria Math" panose="02040503050406030204" pitchFamily="18" charset="0"/>
                          </a:rPr>
                        </m:ctrlPr>
                      </m:fPr>
                      <m:num>
                        <m:sSup>
                          <m:sSupPr>
                            <m:ctrlPr>
                              <a:rPr lang="en-US" sz="1100" b="0" i="1">
                                <a:latin typeface="Cambria Math" panose="02040503050406030204" pitchFamily="18" charset="0"/>
                              </a:rPr>
                            </m:ctrlPr>
                          </m:sSupPr>
                          <m:e>
                            <m:r>
                              <a:rPr lang="en-US" sz="1100" b="0" i="1">
                                <a:latin typeface="Cambria Math" panose="02040503050406030204" pitchFamily="18" charset="0"/>
                              </a:rPr>
                              <m:t>𝑥</m:t>
                            </m:r>
                          </m:e>
                          <m:sup>
                            <m:r>
                              <a:rPr lang="en-US" sz="1100" b="0" i="1">
                                <a:latin typeface="Cambria Math" panose="02040503050406030204" pitchFamily="18" charset="0"/>
                              </a:rPr>
                              <m:t>1.5</m:t>
                            </m:r>
                          </m:sup>
                        </m:sSup>
                      </m:num>
                      <m:den>
                        <m:sSup>
                          <m:sSupPr>
                            <m:ctrlPr>
                              <a:rPr lang="en-US" sz="1100" b="0" i="1">
                                <a:latin typeface="Cambria Math" panose="02040503050406030204" pitchFamily="18" charset="0"/>
                              </a:rPr>
                            </m:ctrlPr>
                          </m:sSupPr>
                          <m:e>
                            <m:r>
                              <a:rPr lang="en-US" sz="1100" b="0" i="1">
                                <a:latin typeface="Cambria Math" panose="02040503050406030204" pitchFamily="18" charset="0"/>
                              </a:rPr>
                              <m:t>𝑥</m:t>
                            </m:r>
                          </m:e>
                          <m:sup>
                            <m:r>
                              <a:rPr lang="en-US" sz="1100" b="0" i="1">
                                <a:latin typeface="Cambria Math" panose="02040503050406030204" pitchFamily="18" charset="0"/>
                              </a:rPr>
                              <m:t>1.5</m:t>
                            </m:r>
                          </m:sup>
                        </m:sSup>
                        <m:r>
                          <a:rPr lang="en-US" sz="1100" b="0" i="1">
                            <a:latin typeface="Cambria Math" panose="02040503050406030204" pitchFamily="18" charset="0"/>
                          </a:rPr>
                          <m:t>+</m:t>
                        </m:r>
                        <m:sSup>
                          <m:sSupPr>
                            <m:ctrlPr>
                              <a:rPr lang="en-US" sz="1100" b="0" i="1">
                                <a:latin typeface="Cambria Math" panose="02040503050406030204" pitchFamily="18" charset="0"/>
                              </a:rPr>
                            </m:ctrlPr>
                          </m:sSupPr>
                          <m:e>
                            <m:r>
                              <a:rPr lang="en-US" sz="1100" b="0" i="1">
                                <a:latin typeface="Cambria Math" panose="02040503050406030204" pitchFamily="18" charset="0"/>
                              </a:rPr>
                              <m:t>15</m:t>
                            </m:r>
                          </m:e>
                          <m:sup>
                            <m:r>
                              <a:rPr lang="en-US" sz="1100" b="0" i="1">
                                <a:latin typeface="Cambria Math" panose="02040503050406030204" pitchFamily="18" charset="0"/>
                              </a:rPr>
                              <m:t>1.5</m:t>
                            </m:r>
                          </m:sup>
                        </m:sSup>
                      </m:den>
                    </m:f>
                  </m:oMath>
                </m:oMathPara>
              </a14:m>
              <a:endParaRPr lang="en-US" sz="1100"/>
            </a:p>
          </xdr:txBody>
        </xdr:sp>
      </mc:Choice>
      <mc:Fallback>
        <xdr:sp macro="" textlink="">
          <xdr:nvSpPr>
            <xdr:cNvPr id="2" name="TextBox 1">
              <a:extLst>
                <a:ext uri="{FF2B5EF4-FFF2-40B4-BE49-F238E27FC236}">
                  <a16:creationId xmlns:a16="http://schemas.microsoft.com/office/drawing/2014/main" id="{524B4CF1-EE46-5644-A866-D6227E08398B}"/>
                </a:ext>
              </a:extLst>
            </xdr:cNvPr>
            <xdr:cNvSpPr txBox="1"/>
          </xdr:nvSpPr>
          <xdr:spPr>
            <a:xfrm>
              <a:off x="1905000" y="2146300"/>
              <a:ext cx="1200457" cy="3449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𝐺(𝑥)=𝑥^1.5/(𝑥^1.5+15^1.5 )</a:t>
              </a:r>
              <a:endParaRPr lang="en-US" sz="1100"/>
            </a:p>
          </xdr:txBody>
        </xdr:sp>
      </mc:Fallback>
    </mc:AlternateContent>
    <xdr:clientData/>
  </xdr:oneCellAnchor>
</xdr:wsDr>
</file>

<file path=xl/drawings/drawing14.xml><?xml version="1.0" encoding="utf-8"?>
<xdr:wsDr xmlns:xdr="http://schemas.openxmlformats.org/drawingml/2006/spreadsheetDrawing" xmlns:a="http://schemas.openxmlformats.org/drawingml/2006/main">
  <xdr:oneCellAnchor>
    <xdr:from>
      <xdr:col>5</xdr:col>
      <xdr:colOff>411162</xdr:colOff>
      <xdr:row>17</xdr:row>
      <xdr:rowOff>50800</xdr:rowOff>
    </xdr:from>
    <xdr:ext cx="948145" cy="319318"/>
    <mc:AlternateContent xmlns:mc="http://schemas.openxmlformats.org/markup-compatibility/2006">
      <mc:Choice xmlns:a14="http://schemas.microsoft.com/office/drawing/2010/main" Requires="a14">
        <xdr:sp macro="" textlink="">
          <xdr:nvSpPr>
            <xdr:cNvPr id="2" name="TextBox 1">
              <a:extLst>
                <a:ext uri="{FF2B5EF4-FFF2-40B4-BE49-F238E27FC236}">
                  <a16:creationId xmlns:a16="http://schemas.microsoft.com/office/drawing/2014/main" id="{756672C8-D6D9-3640-9365-9E0248AF1CA8}"/>
                </a:ext>
              </a:extLst>
            </xdr:cNvPr>
            <xdr:cNvSpPr txBox="1"/>
          </xdr:nvSpPr>
          <xdr:spPr>
            <a:xfrm>
              <a:off x="4602162" y="3505200"/>
              <a:ext cx="948145" cy="3193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IN" sz="1200" b="0" i="1">
                        <a:latin typeface="Cambria Math" panose="02040503050406030204" pitchFamily="18" charset="0"/>
                      </a:rPr>
                      <m:t>𝐺</m:t>
                    </m:r>
                    <m:d>
                      <m:dPr>
                        <m:ctrlPr>
                          <a:rPr lang="en-IN" sz="1200" b="0" i="1">
                            <a:latin typeface="Cambria Math" panose="02040503050406030204" pitchFamily="18" charset="0"/>
                          </a:rPr>
                        </m:ctrlPr>
                      </m:dPr>
                      <m:e>
                        <m:r>
                          <a:rPr lang="en-IN" sz="1200" b="0" i="1">
                            <a:latin typeface="Cambria Math" panose="02040503050406030204" pitchFamily="18" charset="0"/>
                          </a:rPr>
                          <m:t>𝑥</m:t>
                        </m:r>
                      </m:e>
                    </m:d>
                    <m:r>
                      <a:rPr lang="en-IN" sz="1200" b="0" i="1">
                        <a:latin typeface="Cambria Math" panose="02040503050406030204" pitchFamily="18" charset="0"/>
                      </a:rPr>
                      <m:t>= </m:t>
                    </m:r>
                    <m:f>
                      <m:fPr>
                        <m:ctrlPr>
                          <a:rPr lang="en-IN" sz="1200" b="0" i="1">
                            <a:latin typeface="Cambria Math" panose="02040503050406030204" pitchFamily="18" charset="0"/>
                          </a:rPr>
                        </m:ctrlPr>
                      </m:fPr>
                      <m:num>
                        <m:r>
                          <a:rPr lang="en-IN" sz="1200" b="0" i="1">
                            <a:latin typeface="Cambria Math" panose="02040503050406030204" pitchFamily="18" charset="0"/>
                          </a:rPr>
                          <m:t>𝑥</m:t>
                        </m:r>
                      </m:num>
                      <m:den>
                        <m:r>
                          <a:rPr lang="en-IN" sz="1200" b="0" i="1">
                            <a:latin typeface="Cambria Math" panose="02040503050406030204" pitchFamily="18" charset="0"/>
                          </a:rPr>
                          <m:t>𝑥</m:t>
                        </m:r>
                        <m:r>
                          <a:rPr lang="en-IN" sz="1200" b="0" i="1">
                            <a:latin typeface="Cambria Math" panose="02040503050406030204" pitchFamily="18" charset="0"/>
                          </a:rPr>
                          <m:t>+</m:t>
                        </m:r>
                        <m:r>
                          <a:rPr lang="en-IN" sz="1200" b="0" i="1">
                            <a:latin typeface="Cambria Math" panose="02040503050406030204" pitchFamily="18" charset="0"/>
                            <a:ea typeface="Cambria Math" panose="02040503050406030204" pitchFamily="18" charset="0"/>
                          </a:rPr>
                          <m:t>𝜃</m:t>
                        </m:r>
                      </m:den>
                    </m:f>
                  </m:oMath>
                </m:oMathPara>
              </a14:m>
              <a:endParaRPr lang="en-GB" sz="1200"/>
            </a:p>
          </xdr:txBody>
        </xdr:sp>
      </mc:Choice>
      <mc:Fallback>
        <xdr:sp macro="" textlink="">
          <xdr:nvSpPr>
            <xdr:cNvPr id="2" name="TextBox 1">
              <a:extLst>
                <a:ext uri="{FF2B5EF4-FFF2-40B4-BE49-F238E27FC236}">
                  <a16:creationId xmlns:a16="http://schemas.microsoft.com/office/drawing/2014/main" id="{756672C8-D6D9-3640-9365-9E0248AF1CA8}"/>
                </a:ext>
              </a:extLst>
            </xdr:cNvPr>
            <xdr:cNvSpPr txBox="1"/>
          </xdr:nvSpPr>
          <xdr:spPr>
            <a:xfrm>
              <a:off x="4602162" y="3505200"/>
              <a:ext cx="948145" cy="3193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IN" sz="1200" b="0" i="0">
                  <a:latin typeface="Cambria Math" panose="02040503050406030204" pitchFamily="18" charset="0"/>
                </a:rPr>
                <a:t>𝐺(𝑥)=  𝑥/(𝑥+</a:t>
              </a:r>
              <a:r>
                <a:rPr lang="en-IN" sz="1200" b="0" i="0">
                  <a:latin typeface="Cambria Math" panose="02040503050406030204" pitchFamily="18" charset="0"/>
                  <a:ea typeface="Cambria Math" panose="02040503050406030204" pitchFamily="18" charset="0"/>
                </a:rPr>
                <a:t>𝜃)</a:t>
              </a:r>
              <a:endParaRPr lang="en-GB" sz="1200"/>
            </a:p>
          </xdr:txBody>
        </xdr:sp>
      </mc:Fallback>
    </mc:AlternateContent>
    <xdr:clientData/>
  </xdr:oneCellAnchor>
</xdr:wsDr>
</file>

<file path=xl/drawings/drawing15.xml><?xml version="1.0" encoding="utf-8"?>
<xdr:wsDr xmlns:xdr="http://schemas.openxmlformats.org/drawingml/2006/spreadsheetDrawing" xmlns:a="http://schemas.openxmlformats.org/drawingml/2006/main">
  <xdr:oneCellAnchor>
    <xdr:from>
      <xdr:col>7</xdr:col>
      <xdr:colOff>647700</xdr:colOff>
      <xdr:row>11</xdr:row>
      <xdr:rowOff>152400</xdr:rowOff>
    </xdr:from>
    <xdr:ext cx="577850" cy="356188"/>
    <mc:AlternateContent xmlns:mc="http://schemas.openxmlformats.org/markup-compatibility/2006">
      <mc:Choice xmlns:a14="http://schemas.microsoft.com/office/drawing/2010/main" Requires="a14">
        <xdr:sp macro="" textlink="">
          <xdr:nvSpPr>
            <xdr:cNvPr id="2" name="TextBox 1">
              <a:extLst>
                <a:ext uri="{FF2B5EF4-FFF2-40B4-BE49-F238E27FC236}">
                  <a16:creationId xmlns:a16="http://schemas.microsoft.com/office/drawing/2014/main" id="{4E304980-9625-5649-8E4D-59CFE0072AC0}"/>
                </a:ext>
              </a:extLst>
            </xdr:cNvPr>
            <xdr:cNvSpPr txBox="1"/>
          </xdr:nvSpPr>
          <xdr:spPr>
            <a:xfrm>
              <a:off x="6515100" y="2387600"/>
              <a:ext cx="577850" cy="3561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200" b="0" i="1">
                            <a:latin typeface="Cambria Math" panose="02040503050406030204" pitchFamily="18" charset="0"/>
                          </a:rPr>
                        </m:ctrlPr>
                      </m:fPr>
                      <m:num>
                        <m:sSup>
                          <m:sSupPr>
                            <m:ctrlPr>
                              <a:rPr lang="en-US" sz="1200" b="0" i="1">
                                <a:latin typeface="Cambria Math" panose="02040503050406030204" pitchFamily="18" charset="0"/>
                              </a:rPr>
                            </m:ctrlPr>
                          </m:sSupPr>
                          <m:e>
                            <m:r>
                              <a:rPr lang="en-US" sz="1200" b="0" i="1">
                                <a:latin typeface="Cambria Math" panose="02040503050406030204" pitchFamily="18" charset="0"/>
                              </a:rPr>
                              <m:t>𝑥</m:t>
                            </m:r>
                          </m:e>
                          <m:sup>
                            <m:r>
                              <a:rPr lang="en-US" sz="1200" b="0" i="1">
                                <a:latin typeface="Cambria Math" panose="02040503050406030204" pitchFamily="18" charset="0"/>
                              </a:rPr>
                              <m:t>⍵</m:t>
                            </m:r>
                          </m:sup>
                        </m:sSup>
                      </m:num>
                      <m:den>
                        <m:sSup>
                          <m:sSupPr>
                            <m:ctrlPr>
                              <a:rPr lang="en-US" sz="1200" b="0" i="1">
                                <a:latin typeface="Cambria Math" panose="02040503050406030204" pitchFamily="18" charset="0"/>
                              </a:rPr>
                            </m:ctrlPr>
                          </m:sSupPr>
                          <m:e>
                            <m:r>
                              <a:rPr lang="en-US" sz="1200" b="0" i="1">
                                <a:latin typeface="Cambria Math" panose="02040503050406030204" pitchFamily="18" charset="0"/>
                              </a:rPr>
                              <m:t>𝑥</m:t>
                            </m:r>
                          </m:e>
                          <m:sup>
                            <m:r>
                              <a:rPr lang="en-US" sz="1200" b="0" i="1">
                                <a:latin typeface="Cambria Math" panose="02040503050406030204" pitchFamily="18" charset="0"/>
                              </a:rPr>
                              <m:t>⍵</m:t>
                            </m:r>
                          </m:sup>
                        </m:sSup>
                        <m:r>
                          <a:rPr lang="en-US" sz="1200" b="0" i="1">
                            <a:latin typeface="Cambria Math" panose="02040503050406030204" pitchFamily="18" charset="0"/>
                          </a:rPr>
                          <m:t>+</m:t>
                        </m:r>
                        <m:sSup>
                          <m:sSupPr>
                            <m:ctrlPr>
                              <a:rPr lang="en-US" sz="1200" b="0" i="1">
                                <a:latin typeface="Cambria Math" panose="02040503050406030204" pitchFamily="18" charset="0"/>
                              </a:rPr>
                            </m:ctrlPr>
                          </m:sSupPr>
                          <m:e>
                            <m:r>
                              <a:rPr lang="en-US" sz="1200" b="0" i="1">
                                <a:latin typeface="Cambria Math" panose="02040503050406030204" pitchFamily="18" charset="0"/>
                              </a:rPr>
                              <m:t>𝜃</m:t>
                            </m:r>
                          </m:e>
                          <m:sup>
                            <m:r>
                              <a:rPr lang="en-US" sz="1200" b="0" i="1">
                                <a:latin typeface="Cambria Math" panose="02040503050406030204" pitchFamily="18" charset="0"/>
                              </a:rPr>
                              <m:t>⍵</m:t>
                            </m:r>
                          </m:sup>
                        </m:sSup>
                      </m:den>
                    </m:f>
                  </m:oMath>
                </m:oMathPara>
              </a14:m>
              <a:endParaRPr lang="en-US" sz="1200"/>
            </a:p>
          </xdr:txBody>
        </xdr:sp>
      </mc:Choice>
      <mc:Fallback>
        <xdr:sp macro="" textlink="">
          <xdr:nvSpPr>
            <xdr:cNvPr id="2" name="TextBox 1">
              <a:extLst>
                <a:ext uri="{FF2B5EF4-FFF2-40B4-BE49-F238E27FC236}">
                  <a16:creationId xmlns:a16="http://schemas.microsoft.com/office/drawing/2014/main" id="{4E304980-9625-5649-8E4D-59CFE0072AC0}"/>
                </a:ext>
              </a:extLst>
            </xdr:cNvPr>
            <xdr:cNvSpPr txBox="1"/>
          </xdr:nvSpPr>
          <xdr:spPr>
            <a:xfrm>
              <a:off x="6515100" y="2387600"/>
              <a:ext cx="577850" cy="3561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200" b="0" i="0">
                  <a:latin typeface="Cambria Math" panose="02040503050406030204" pitchFamily="18" charset="0"/>
                </a:rPr>
                <a:t>𝑥^⍵/(𝑥^⍵+𝜃^⍵ )</a:t>
              </a:r>
              <a:endParaRPr lang="en-US" sz="12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11</xdr:col>
      <xdr:colOff>566616</xdr:colOff>
      <xdr:row>30</xdr:row>
      <xdr:rowOff>69362</xdr:rowOff>
    </xdr:from>
    <xdr:to>
      <xdr:col>17</xdr:col>
      <xdr:colOff>156308</xdr:colOff>
      <xdr:row>43</xdr:row>
      <xdr:rowOff>145562</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431800</xdr:colOff>
          <xdr:row>18</xdr:row>
          <xdr:rowOff>12700</xdr:rowOff>
        </xdr:from>
        <xdr:to>
          <xdr:col>19</xdr:col>
          <xdr:colOff>292100</xdr:colOff>
          <xdr:row>29</xdr:row>
          <xdr:rowOff>63500</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16</xdr:col>
      <xdr:colOff>0</xdr:colOff>
      <xdr:row>33</xdr:row>
      <xdr:rowOff>0</xdr:rowOff>
    </xdr:from>
    <xdr:to>
      <xdr:col>16</xdr:col>
      <xdr:colOff>165100</xdr:colOff>
      <xdr:row>33</xdr:row>
      <xdr:rowOff>190500</xdr:rowOff>
    </xdr:to>
    <xdr:pic>
      <xdr:nvPicPr>
        <xdr:cNvPr id="10241" name="Picture 1">
          <a:extLst>
            <a:ext uri="{FF2B5EF4-FFF2-40B4-BE49-F238E27FC236}">
              <a16:creationId xmlns:a16="http://schemas.microsoft.com/office/drawing/2014/main" id="{00000000-0008-0000-0900-000001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00" y="13944600"/>
          <a:ext cx="1651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107950</xdr:colOff>
      <xdr:row>19</xdr:row>
      <xdr:rowOff>25400</xdr:rowOff>
    </xdr:from>
    <xdr:ext cx="332655" cy="175369"/>
    <mc:AlternateContent xmlns:mc="http://schemas.openxmlformats.org/markup-compatibility/2006">
      <mc:Choice xmlns:a14="http://schemas.microsoft.com/office/drawing/2010/main" Requires="a14">
        <xdr:sp macro="" textlink="">
          <xdr:nvSpPr>
            <xdr:cNvPr id="2" name="TextBox 1">
              <a:extLst>
                <a:ext uri="{FF2B5EF4-FFF2-40B4-BE49-F238E27FC236}">
                  <a16:creationId xmlns:a16="http://schemas.microsoft.com/office/drawing/2014/main" id="{CDE49DA0-691E-1646-BB2B-80E6796DE545}"/>
                </a:ext>
              </a:extLst>
            </xdr:cNvPr>
            <xdr:cNvSpPr txBox="1"/>
          </xdr:nvSpPr>
          <xdr:spPr>
            <a:xfrm>
              <a:off x="946150" y="3886200"/>
              <a:ext cx="332655"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n-US" sz="1100" b="0" i="1">
                            <a:latin typeface="Cambria Math" panose="02040503050406030204" pitchFamily="18" charset="0"/>
                          </a:rPr>
                        </m:ctrlPr>
                      </m:sSupPr>
                      <m:e>
                        <m:r>
                          <a:rPr lang="en-US" sz="1100" b="0" i="1">
                            <a:latin typeface="Cambria Math" panose="02040503050406030204" pitchFamily="18" charset="0"/>
                          </a:rPr>
                          <m:t>𝜎</m:t>
                        </m:r>
                      </m:e>
                      <m:sup>
                        <m:r>
                          <a:rPr lang="en-US" sz="1100" b="0" i="1">
                            <a:latin typeface="Cambria Math" panose="02040503050406030204" pitchFamily="18" charset="0"/>
                          </a:rPr>
                          <m:t>2</m:t>
                        </m:r>
                      </m:sup>
                    </m:sSup>
                    <m:r>
                      <a:rPr lang="en-US" sz="1100" b="0" i="1">
                        <a:latin typeface="Cambria Math" panose="02040503050406030204" pitchFamily="18" charset="0"/>
                      </a:rPr>
                      <m:t>=</m:t>
                    </m:r>
                  </m:oMath>
                </m:oMathPara>
              </a14:m>
              <a:endParaRPr lang="en-US" sz="1100"/>
            </a:p>
          </xdr:txBody>
        </xdr:sp>
      </mc:Choice>
      <mc:Fallback>
        <xdr:sp macro="" textlink="">
          <xdr:nvSpPr>
            <xdr:cNvPr id="2" name="TextBox 1">
              <a:extLst>
                <a:ext uri="{FF2B5EF4-FFF2-40B4-BE49-F238E27FC236}">
                  <a16:creationId xmlns:a16="http://schemas.microsoft.com/office/drawing/2014/main" id="{CDE49DA0-691E-1646-BB2B-80E6796DE545}"/>
                </a:ext>
              </a:extLst>
            </xdr:cNvPr>
            <xdr:cNvSpPr txBox="1"/>
          </xdr:nvSpPr>
          <xdr:spPr>
            <a:xfrm>
              <a:off x="946150" y="3886200"/>
              <a:ext cx="332655"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𝜎^2=</a:t>
              </a:r>
              <a:endParaRPr lang="en-US" sz="1100"/>
            </a:p>
          </xdr:txBody>
        </xdr:sp>
      </mc:Fallback>
    </mc:AlternateContent>
    <xdr:clientData/>
  </xdr:oneCellAnchor>
</xdr:wsDr>
</file>

<file path=xl/drawings/drawing6.xml><?xml version="1.0" encoding="utf-8"?>
<xdr:wsDr xmlns:xdr="http://schemas.openxmlformats.org/drawingml/2006/spreadsheetDrawing" xmlns:a="http://schemas.openxmlformats.org/drawingml/2006/main">
  <xdr:oneCellAnchor>
    <xdr:from>
      <xdr:col>3</xdr:col>
      <xdr:colOff>457200</xdr:colOff>
      <xdr:row>16</xdr:row>
      <xdr:rowOff>101600</xdr:rowOff>
    </xdr:from>
    <xdr:ext cx="1130300" cy="356188"/>
    <mc:AlternateContent xmlns:mc="http://schemas.openxmlformats.org/markup-compatibility/2006">
      <mc:Choice xmlns:a14="http://schemas.microsoft.com/office/drawing/2010/main" Requires="a14">
        <xdr:sp macro="" textlink="">
          <xdr:nvSpPr>
            <xdr:cNvPr id="2" name="TextBox 1">
              <a:extLst>
                <a:ext uri="{FF2B5EF4-FFF2-40B4-BE49-F238E27FC236}">
                  <a16:creationId xmlns:a16="http://schemas.microsoft.com/office/drawing/2014/main" id="{80DBC6FF-37AB-D24A-AEB3-6E292FF37713}"/>
                </a:ext>
              </a:extLst>
            </xdr:cNvPr>
            <xdr:cNvSpPr txBox="1"/>
          </xdr:nvSpPr>
          <xdr:spPr>
            <a:xfrm>
              <a:off x="2971800" y="3352800"/>
              <a:ext cx="1130300" cy="3561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panose="02040503050406030204" pitchFamily="18" charset="0"/>
                      </a:rPr>
                      <m:t>𝐺</m:t>
                    </m:r>
                    <m:d>
                      <m:dPr>
                        <m:ctrlPr>
                          <a:rPr lang="en-US" sz="1200" b="0" i="1">
                            <a:latin typeface="Cambria Math" panose="02040503050406030204" pitchFamily="18" charset="0"/>
                          </a:rPr>
                        </m:ctrlPr>
                      </m:dPr>
                      <m:e>
                        <m:r>
                          <a:rPr lang="en-US" sz="1200" b="0" i="1">
                            <a:latin typeface="Cambria Math" panose="02040503050406030204" pitchFamily="18" charset="0"/>
                          </a:rPr>
                          <m:t>𝑥</m:t>
                        </m:r>
                      </m:e>
                    </m:d>
                    <m:r>
                      <a:rPr lang="en-US" sz="1200" b="0" i="1">
                        <a:latin typeface="Cambria Math" panose="02040503050406030204" pitchFamily="18" charset="0"/>
                      </a:rPr>
                      <m:t>=</m:t>
                    </m:r>
                    <m:f>
                      <m:fPr>
                        <m:ctrlPr>
                          <a:rPr lang="en-US" sz="1200" b="0" i="1">
                            <a:latin typeface="Cambria Math" panose="02040503050406030204" pitchFamily="18" charset="0"/>
                          </a:rPr>
                        </m:ctrlPr>
                      </m:fPr>
                      <m:num>
                        <m:sSup>
                          <m:sSupPr>
                            <m:ctrlPr>
                              <a:rPr lang="en-US" sz="1200" b="0" i="1">
                                <a:latin typeface="Cambria Math" panose="02040503050406030204" pitchFamily="18" charset="0"/>
                              </a:rPr>
                            </m:ctrlPr>
                          </m:sSupPr>
                          <m:e>
                            <m:r>
                              <a:rPr lang="en-US" sz="1200" b="0" i="1">
                                <a:latin typeface="Cambria Math" panose="02040503050406030204" pitchFamily="18" charset="0"/>
                              </a:rPr>
                              <m:t>𝑥</m:t>
                            </m:r>
                          </m:e>
                          <m:sup>
                            <m:r>
                              <a:rPr lang="en-US" sz="1200" b="0" i="1">
                                <a:latin typeface="Cambria Math" panose="02040503050406030204" pitchFamily="18" charset="0"/>
                              </a:rPr>
                              <m:t>⍵</m:t>
                            </m:r>
                          </m:sup>
                        </m:sSup>
                      </m:num>
                      <m:den>
                        <m:sSup>
                          <m:sSupPr>
                            <m:ctrlPr>
                              <a:rPr lang="en-US" sz="1200" b="0" i="1">
                                <a:latin typeface="Cambria Math" panose="02040503050406030204" pitchFamily="18" charset="0"/>
                              </a:rPr>
                            </m:ctrlPr>
                          </m:sSupPr>
                          <m:e>
                            <m:r>
                              <a:rPr lang="en-US" sz="1200" b="0" i="1">
                                <a:latin typeface="Cambria Math" panose="02040503050406030204" pitchFamily="18" charset="0"/>
                              </a:rPr>
                              <m:t>𝑥</m:t>
                            </m:r>
                          </m:e>
                          <m:sup>
                            <m:r>
                              <a:rPr lang="en-US" sz="1200" b="0" i="1">
                                <a:latin typeface="Cambria Math" panose="02040503050406030204" pitchFamily="18" charset="0"/>
                              </a:rPr>
                              <m:t>⍵</m:t>
                            </m:r>
                          </m:sup>
                        </m:sSup>
                        <m:r>
                          <a:rPr lang="en-US" sz="1200" b="0" i="1">
                            <a:latin typeface="Cambria Math" panose="02040503050406030204" pitchFamily="18" charset="0"/>
                          </a:rPr>
                          <m:t>+</m:t>
                        </m:r>
                        <m:sSup>
                          <m:sSupPr>
                            <m:ctrlPr>
                              <a:rPr lang="en-US" sz="1200" b="0" i="1">
                                <a:latin typeface="Cambria Math" panose="02040503050406030204" pitchFamily="18" charset="0"/>
                              </a:rPr>
                            </m:ctrlPr>
                          </m:sSupPr>
                          <m:e>
                            <m:r>
                              <a:rPr lang="en-US" sz="1200" b="0" i="1">
                                <a:latin typeface="Cambria Math" panose="02040503050406030204" pitchFamily="18" charset="0"/>
                              </a:rPr>
                              <m:t>𝜃</m:t>
                            </m:r>
                          </m:e>
                          <m:sup>
                            <m:r>
                              <a:rPr lang="en-US" sz="1200" b="0" i="1">
                                <a:latin typeface="Cambria Math" panose="02040503050406030204" pitchFamily="18" charset="0"/>
                              </a:rPr>
                              <m:t>⍵</m:t>
                            </m:r>
                          </m:sup>
                        </m:sSup>
                      </m:den>
                    </m:f>
                  </m:oMath>
                </m:oMathPara>
              </a14:m>
              <a:endParaRPr lang="en-US" sz="1200"/>
            </a:p>
          </xdr:txBody>
        </xdr:sp>
      </mc:Choice>
      <mc:Fallback>
        <xdr:sp macro="" textlink="">
          <xdr:nvSpPr>
            <xdr:cNvPr id="2" name="TextBox 1">
              <a:extLst>
                <a:ext uri="{FF2B5EF4-FFF2-40B4-BE49-F238E27FC236}">
                  <a16:creationId xmlns:a16="http://schemas.microsoft.com/office/drawing/2014/main" id="{80DBC6FF-37AB-D24A-AEB3-6E292FF37713}"/>
                </a:ext>
              </a:extLst>
            </xdr:cNvPr>
            <xdr:cNvSpPr txBox="1"/>
          </xdr:nvSpPr>
          <xdr:spPr>
            <a:xfrm>
              <a:off x="2971800" y="3352800"/>
              <a:ext cx="1130300" cy="3561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200" b="0" i="0">
                  <a:latin typeface="Cambria Math" panose="02040503050406030204" pitchFamily="18" charset="0"/>
                </a:rPr>
                <a:t>𝐺(𝑥)=𝑥^⍵/(𝑥^⍵+𝜃^⍵ )</a:t>
              </a:r>
              <a:endParaRPr lang="en-US" sz="1200"/>
            </a:p>
          </xdr:txBody>
        </xdr:sp>
      </mc:Fallback>
    </mc:AlternateContent>
    <xdr:clientData/>
  </xdr:oneCellAnchor>
</xdr:wsDr>
</file>

<file path=xl/drawings/drawing7.xml><?xml version="1.0" encoding="utf-8"?>
<xdr:wsDr xmlns:xdr="http://schemas.openxmlformats.org/drawingml/2006/spreadsheetDrawing" xmlns:a="http://schemas.openxmlformats.org/drawingml/2006/main">
  <xdr:twoCellAnchor>
    <xdr:from>
      <xdr:col>11</xdr:col>
      <xdr:colOff>331787</xdr:colOff>
      <xdr:row>43</xdr:row>
      <xdr:rowOff>174624</xdr:rowOff>
    </xdr:from>
    <xdr:to>
      <xdr:col>17</xdr:col>
      <xdr:colOff>342900</xdr:colOff>
      <xdr:row>58</xdr:row>
      <xdr:rowOff>0</xdr:rowOff>
    </xdr:to>
    <xdr:graphicFrame macro="">
      <xdr:nvGraphicFramePr>
        <xdr:cNvPr id="2" name="Chart 1">
          <a:extLst>
            <a:ext uri="{FF2B5EF4-FFF2-40B4-BE49-F238E27FC236}">
              <a16:creationId xmlns:a16="http://schemas.microsoft.com/office/drawing/2014/main" id="{432558B5-4450-CD48-B18F-F8B6C999D0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3</xdr:col>
      <xdr:colOff>196850</xdr:colOff>
      <xdr:row>13</xdr:row>
      <xdr:rowOff>139700</xdr:rowOff>
    </xdr:from>
    <xdr:ext cx="2058961" cy="341568"/>
    <mc:AlternateContent xmlns:mc="http://schemas.openxmlformats.org/markup-compatibility/2006">
      <mc:Choice xmlns:a14="http://schemas.microsoft.com/office/drawing/2010/main" Requires="a14">
        <xdr:sp macro="" textlink="">
          <xdr:nvSpPr>
            <xdr:cNvPr id="3" name="TextBox 2">
              <a:extLst>
                <a:ext uri="{FF2B5EF4-FFF2-40B4-BE49-F238E27FC236}">
                  <a16:creationId xmlns:a16="http://schemas.microsoft.com/office/drawing/2014/main" id="{237612C5-8E59-2D43-8206-50994378313D}"/>
                </a:ext>
              </a:extLst>
            </xdr:cNvPr>
            <xdr:cNvSpPr txBox="1"/>
          </xdr:nvSpPr>
          <xdr:spPr>
            <a:xfrm>
              <a:off x="2711450" y="2781300"/>
              <a:ext cx="2058961" cy="3415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panose="02040503050406030204" pitchFamily="18" charset="0"/>
                      </a:rPr>
                      <m:t>𝐺</m:t>
                    </m:r>
                    <m:d>
                      <m:dPr>
                        <m:ctrlPr>
                          <a:rPr lang="en-US" sz="1200" b="0" i="1">
                            <a:latin typeface="Cambria Math" panose="02040503050406030204" pitchFamily="18" charset="0"/>
                          </a:rPr>
                        </m:ctrlPr>
                      </m:dPr>
                      <m:e>
                        <m:r>
                          <a:rPr lang="en-US" sz="1200" b="0" i="1">
                            <a:latin typeface="Cambria Math" panose="02040503050406030204" pitchFamily="18" charset="0"/>
                          </a:rPr>
                          <m:t>𝑥</m:t>
                        </m:r>
                      </m:e>
                      <m:e>
                        <m:r>
                          <a:rPr lang="el-GR" sz="1200" b="0" i="1">
                            <a:latin typeface="Cambria Math" panose="02040503050406030204" pitchFamily="18" charset="0"/>
                          </a:rPr>
                          <m:t>𝜔</m:t>
                        </m:r>
                        <m:r>
                          <a:rPr lang="el-GR" sz="1200" b="0" i="1">
                            <a:latin typeface="Cambria Math" panose="02040503050406030204" pitchFamily="18" charset="0"/>
                          </a:rPr>
                          <m:t>, </m:t>
                        </m:r>
                        <m:r>
                          <a:rPr lang="en-US" sz="1200" b="0" i="1">
                            <a:latin typeface="Cambria Math" panose="02040503050406030204" pitchFamily="18" charset="0"/>
                          </a:rPr>
                          <m:t>Ɵ</m:t>
                        </m:r>
                      </m:e>
                    </m:d>
                    <m:r>
                      <a:rPr lang="en-US" sz="1200" b="0" i="1">
                        <a:latin typeface="Cambria Math" panose="02040503050406030204" pitchFamily="18" charset="0"/>
                      </a:rPr>
                      <m:t>=1−</m:t>
                    </m:r>
                    <m:r>
                      <a:rPr lang="en-US" sz="1200" b="0" i="1">
                        <a:latin typeface="Cambria Math" panose="02040503050406030204" pitchFamily="18" charset="0"/>
                      </a:rPr>
                      <m:t>𝑒𝑥𝑝</m:t>
                    </m:r>
                    <m:d>
                      <m:dPr>
                        <m:ctrlPr>
                          <a:rPr lang="en-US" sz="1200" b="0" i="1">
                            <a:latin typeface="Cambria Math" panose="02040503050406030204" pitchFamily="18" charset="0"/>
                          </a:rPr>
                        </m:ctrlPr>
                      </m:dPr>
                      <m:e>
                        <m:r>
                          <a:rPr lang="en-US" sz="1200" b="0" i="1">
                            <a:latin typeface="Cambria Math" panose="02040503050406030204" pitchFamily="18" charset="0"/>
                          </a:rPr>
                          <m:t>−</m:t>
                        </m:r>
                        <m:sSup>
                          <m:sSupPr>
                            <m:ctrlPr>
                              <a:rPr lang="en-US" sz="1200" b="0" i="1">
                                <a:latin typeface="Cambria Math" panose="02040503050406030204" pitchFamily="18" charset="0"/>
                              </a:rPr>
                            </m:ctrlPr>
                          </m:sSupPr>
                          <m:e>
                            <m:d>
                              <m:dPr>
                                <m:ctrlPr>
                                  <a:rPr lang="en-US" sz="1200" b="0" i="1">
                                    <a:latin typeface="Cambria Math" panose="02040503050406030204" pitchFamily="18" charset="0"/>
                                  </a:rPr>
                                </m:ctrlPr>
                              </m:dPr>
                              <m:e>
                                <m:f>
                                  <m:fPr>
                                    <m:ctrlPr>
                                      <a:rPr lang="en-US" sz="1200" b="0" i="1">
                                        <a:latin typeface="Cambria Math" panose="02040503050406030204" pitchFamily="18" charset="0"/>
                                      </a:rPr>
                                    </m:ctrlPr>
                                  </m:fPr>
                                  <m:num>
                                    <m:r>
                                      <a:rPr lang="en-US" sz="1200" b="0" i="1">
                                        <a:latin typeface="Cambria Math" panose="02040503050406030204" pitchFamily="18" charset="0"/>
                                      </a:rPr>
                                      <m:t>𝑥</m:t>
                                    </m:r>
                                  </m:num>
                                  <m:den>
                                    <m:r>
                                      <a:rPr lang="en-US" sz="1200" b="0" i="1">
                                        <a:latin typeface="Cambria Math" panose="02040503050406030204" pitchFamily="18" charset="0"/>
                                      </a:rPr>
                                      <m:t>Ɵ</m:t>
                                    </m:r>
                                  </m:den>
                                </m:f>
                              </m:e>
                            </m:d>
                          </m:e>
                          <m:sup>
                            <m:r>
                              <a:rPr lang="el-GR" sz="1200" b="0" i="1">
                                <a:latin typeface="Cambria Math" panose="02040503050406030204" pitchFamily="18" charset="0"/>
                              </a:rPr>
                              <m:t>𝜔</m:t>
                            </m:r>
                          </m:sup>
                        </m:sSup>
                      </m:e>
                    </m:d>
                  </m:oMath>
                </m:oMathPara>
              </a14:m>
              <a:endParaRPr lang="en-US" sz="1200"/>
            </a:p>
          </xdr:txBody>
        </xdr:sp>
      </mc:Choice>
      <mc:Fallback>
        <xdr:sp macro="" textlink="">
          <xdr:nvSpPr>
            <xdr:cNvPr id="3" name="TextBox 2">
              <a:extLst>
                <a:ext uri="{FF2B5EF4-FFF2-40B4-BE49-F238E27FC236}">
                  <a16:creationId xmlns:a16="http://schemas.microsoft.com/office/drawing/2014/main" id="{237612C5-8E59-2D43-8206-50994378313D}"/>
                </a:ext>
              </a:extLst>
            </xdr:cNvPr>
            <xdr:cNvSpPr txBox="1"/>
          </xdr:nvSpPr>
          <xdr:spPr>
            <a:xfrm>
              <a:off x="2711450" y="2781300"/>
              <a:ext cx="2058961" cy="3415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200" b="0" i="0">
                  <a:latin typeface="Cambria Math" panose="02040503050406030204" pitchFamily="18" charset="0"/>
                </a:rPr>
                <a:t>𝐺(𝑥│</a:t>
              </a:r>
              <a:r>
                <a:rPr lang="el-GR" sz="1200" b="0" i="0">
                  <a:latin typeface="Cambria Math" panose="02040503050406030204" pitchFamily="18" charset="0"/>
                </a:rPr>
                <a:t>𝜔, </a:t>
              </a:r>
              <a:r>
                <a:rPr lang="en-US" sz="1200" b="0" i="0">
                  <a:latin typeface="Cambria Math" panose="02040503050406030204" pitchFamily="18" charset="0"/>
                </a:rPr>
                <a:t>Ɵ)=1−𝑒𝑥𝑝(−(𝑥/Ɵ)^</a:t>
              </a:r>
              <a:r>
                <a:rPr lang="el-GR" sz="1200" b="0" i="0">
                  <a:latin typeface="Cambria Math" panose="02040503050406030204" pitchFamily="18" charset="0"/>
                </a:rPr>
                <a:t>𝜔 )</a:t>
              </a:r>
              <a:endParaRPr lang="en-US" sz="1200"/>
            </a:p>
          </xdr:txBody>
        </xdr:sp>
      </mc:Fallback>
    </mc:AlternateContent>
    <xdr:clientData/>
  </xdr:oneCellAnchor>
</xdr:wsDr>
</file>

<file path=xl/drawings/drawing8.xml><?xml version="1.0" encoding="utf-8"?>
<xdr:wsDr xmlns:xdr="http://schemas.openxmlformats.org/drawingml/2006/spreadsheetDrawing" xmlns:a="http://schemas.openxmlformats.org/drawingml/2006/main">
  <xdr:oneCellAnchor>
    <xdr:from>
      <xdr:col>3</xdr:col>
      <xdr:colOff>469900</xdr:colOff>
      <xdr:row>9</xdr:row>
      <xdr:rowOff>127000</xdr:rowOff>
    </xdr:from>
    <xdr:ext cx="1130300" cy="356188"/>
    <mc:AlternateContent xmlns:mc="http://schemas.openxmlformats.org/markup-compatibility/2006">
      <mc:Choice xmlns:a14="http://schemas.microsoft.com/office/drawing/2010/main" Requires="a14">
        <xdr:sp macro="" textlink="">
          <xdr:nvSpPr>
            <xdr:cNvPr id="2" name="TextBox 1">
              <a:extLst>
                <a:ext uri="{FF2B5EF4-FFF2-40B4-BE49-F238E27FC236}">
                  <a16:creationId xmlns:a16="http://schemas.microsoft.com/office/drawing/2014/main" id="{62160AD6-26C5-6D4D-8DFA-9A013E589238}"/>
                </a:ext>
              </a:extLst>
            </xdr:cNvPr>
            <xdr:cNvSpPr txBox="1"/>
          </xdr:nvSpPr>
          <xdr:spPr>
            <a:xfrm>
              <a:off x="2984500" y="1955800"/>
              <a:ext cx="1130300" cy="3561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panose="02040503050406030204" pitchFamily="18" charset="0"/>
                      </a:rPr>
                      <m:t>𝐺</m:t>
                    </m:r>
                    <m:d>
                      <m:dPr>
                        <m:ctrlPr>
                          <a:rPr lang="en-US" sz="1200" b="0" i="1">
                            <a:latin typeface="Cambria Math" panose="02040503050406030204" pitchFamily="18" charset="0"/>
                          </a:rPr>
                        </m:ctrlPr>
                      </m:dPr>
                      <m:e>
                        <m:r>
                          <a:rPr lang="en-US" sz="1200" b="0" i="1">
                            <a:latin typeface="Cambria Math" panose="02040503050406030204" pitchFamily="18" charset="0"/>
                          </a:rPr>
                          <m:t>𝑥</m:t>
                        </m:r>
                      </m:e>
                    </m:d>
                    <m:r>
                      <a:rPr lang="en-US" sz="1200" b="0" i="1">
                        <a:latin typeface="Cambria Math" panose="02040503050406030204" pitchFamily="18" charset="0"/>
                      </a:rPr>
                      <m:t>=</m:t>
                    </m:r>
                    <m:f>
                      <m:fPr>
                        <m:ctrlPr>
                          <a:rPr lang="en-US" sz="1200" b="0" i="1">
                            <a:latin typeface="Cambria Math" panose="02040503050406030204" pitchFamily="18" charset="0"/>
                          </a:rPr>
                        </m:ctrlPr>
                      </m:fPr>
                      <m:num>
                        <m:sSup>
                          <m:sSupPr>
                            <m:ctrlPr>
                              <a:rPr lang="en-US" sz="1200" b="0" i="1">
                                <a:latin typeface="Cambria Math" panose="02040503050406030204" pitchFamily="18" charset="0"/>
                              </a:rPr>
                            </m:ctrlPr>
                          </m:sSupPr>
                          <m:e>
                            <m:r>
                              <a:rPr lang="en-US" sz="1200" b="0" i="1">
                                <a:latin typeface="Cambria Math" panose="02040503050406030204" pitchFamily="18" charset="0"/>
                              </a:rPr>
                              <m:t>𝑥</m:t>
                            </m:r>
                          </m:e>
                          <m:sup>
                            <m:r>
                              <a:rPr lang="en-US" sz="1200" b="0" i="1">
                                <a:latin typeface="Cambria Math" panose="02040503050406030204" pitchFamily="18" charset="0"/>
                              </a:rPr>
                              <m:t>⍵</m:t>
                            </m:r>
                          </m:sup>
                        </m:sSup>
                      </m:num>
                      <m:den>
                        <m:sSup>
                          <m:sSupPr>
                            <m:ctrlPr>
                              <a:rPr lang="en-US" sz="1200" b="0" i="1">
                                <a:latin typeface="Cambria Math" panose="02040503050406030204" pitchFamily="18" charset="0"/>
                              </a:rPr>
                            </m:ctrlPr>
                          </m:sSupPr>
                          <m:e>
                            <m:r>
                              <a:rPr lang="en-US" sz="1200" b="0" i="1">
                                <a:latin typeface="Cambria Math" panose="02040503050406030204" pitchFamily="18" charset="0"/>
                              </a:rPr>
                              <m:t>𝑥</m:t>
                            </m:r>
                          </m:e>
                          <m:sup>
                            <m:r>
                              <a:rPr lang="en-US" sz="1200" b="0" i="1">
                                <a:latin typeface="Cambria Math" panose="02040503050406030204" pitchFamily="18" charset="0"/>
                              </a:rPr>
                              <m:t>⍵</m:t>
                            </m:r>
                          </m:sup>
                        </m:sSup>
                        <m:r>
                          <a:rPr lang="en-US" sz="1200" b="0" i="1">
                            <a:latin typeface="Cambria Math" panose="02040503050406030204" pitchFamily="18" charset="0"/>
                          </a:rPr>
                          <m:t>+</m:t>
                        </m:r>
                        <m:sSup>
                          <m:sSupPr>
                            <m:ctrlPr>
                              <a:rPr lang="en-US" sz="1200" b="0" i="1">
                                <a:latin typeface="Cambria Math" panose="02040503050406030204" pitchFamily="18" charset="0"/>
                              </a:rPr>
                            </m:ctrlPr>
                          </m:sSupPr>
                          <m:e>
                            <m:r>
                              <a:rPr lang="en-US" sz="1200" b="0" i="1">
                                <a:latin typeface="Cambria Math" panose="02040503050406030204" pitchFamily="18" charset="0"/>
                              </a:rPr>
                              <m:t>𝜃</m:t>
                            </m:r>
                          </m:e>
                          <m:sup>
                            <m:r>
                              <a:rPr lang="en-US" sz="1200" b="0" i="1">
                                <a:latin typeface="Cambria Math" panose="02040503050406030204" pitchFamily="18" charset="0"/>
                              </a:rPr>
                              <m:t>⍵</m:t>
                            </m:r>
                          </m:sup>
                        </m:sSup>
                      </m:den>
                    </m:f>
                  </m:oMath>
                </m:oMathPara>
              </a14:m>
              <a:endParaRPr lang="en-US" sz="1200"/>
            </a:p>
          </xdr:txBody>
        </xdr:sp>
      </mc:Choice>
      <mc:Fallback>
        <xdr:sp macro="" textlink="">
          <xdr:nvSpPr>
            <xdr:cNvPr id="2" name="TextBox 1">
              <a:extLst>
                <a:ext uri="{FF2B5EF4-FFF2-40B4-BE49-F238E27FC236}">
                  <a16:creationId xmlns:a16="http://schemas.microsoft.com/office/drawing/2014/main" id="{62160AD6-26C5-6D4D-8DFA-9A013E589238}"/>
                </a:ext>
              </a:extLst>
            </xdr:cNvPr>
            <xdr:cNvSpPr txBox="1"/>
          </xdr:nvSpPr>
          <xdr:spPr>
            <a:xfrm>
              <a:off x="2984500" y="1955800"/>
              <a:ext cx="1130300" cy="3561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200" b="0" i="0">
                  <a:latin typeface="Cambria Math" panose="02040503050406030204" pitchFamily="18" charset="0"/>
                </a:rPr>
                <a:t>𝐺(𝑥)=𝑥^⍵/(𝑥^⍵+𝜃^⍵ )</a:t>
              </a:r>
              <a:endParaRPr lang="en-US" sz="1200"/>
            </a:p>
          </xdr:txBody>
        </xdr:sp>
      </mc:Fallback>
    </mc:AlternateContent>
    <xdr:clientData/>
  </xdr:oneCellAnchor>
</xdr:wsDr>
</file>

<file path=xl/drawings/drawing9.xml><?xml version="1.0" encoding="utf-8"?>
<xdr:wsDr xmlns:xdr="http://schemas.openxmlformats.org/drawingml/2006/spreadsheetDrawing" xmlns:a="http://schemas.openxmlformats.org/drawingml/2006/main">
  <xdr:oneCellAnchor>
    <xdr:from>
      <xdr:col>4</xdr:col>
      <xdr:colOff>166687</xdr:colOff>
      <xdr:row>17</xdr:row>
      <xdr:rowOff>180975</xdr:rowOff>
    </xdr:from>
    <xdr:ext cx="928688" cy="329706"/>
    <mc:AlternateContent xmlns:mc="http://schemas.openxmlformats.org/markup-compatibility/2006">
      <mc:Choice xmlns:a14="http://schemas.microsoft.com/office/drawing/2010/main" Requires="a14">
        <xdr:sp macro="" textlink="">
          <xdr:nvSpPr>
            <xdr:cNvPr id="2" name="TextBox 1">
              <a:extLst>
                <a:ext uri="{FF2B5EF4-FFF2-40B4-BE49-F238E27FC236}">
                  <a16:creationId xmlns:a16="http://schemas.microsoft.com/office/drawing/2014/main" id="{16914349-F977-EA4C-BF6E-B4E40C2327F3}"/>
                </a:ext>
              </a:extLst>
            </xdr:cNvPr>
            <xdr:cNvSpPr txBox="1"/>
          </xdr:nvSpPr>
          <xdr:spPr>
            <a:xfrm>
              <a:off x="3519487" y="3635375"/>
              <a:ext cx="928688" cy="329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IN" sz="1200"/>
                <a:t>G(x)= </a:t>
              </a:r>
              <a14:m>
                <m:oMath xmlns:m="http://schemas.openxmlformats.org/officeDocument/2006/math">
                  <m:f>
                    <m:fPr>
                      <m:ctrlPr>
                        <a:rPr lang="en-IN" sz="1600" i="1">
                          <a:latin typeface="Cambria Math" panose="02040503050406030204" pitchFamily="18" charset="0"/>
                        </a:rPr>
                      </m:ctrlPr>
                    </m:fPr>
                    <m:num>
                      <m:r>
                        <a:rPr lang="en-IN" sz="1600" b="0" i="1">
                          <a:latin typeface="Cambria Math" panose="02040503050406030204" pitchFamily="18" charset="0"/>
                        </a:rPr>
                        <m:t>𝑥</m:t>
                      </m:r>
                    </m:num>
                    <m:den>
                      <m:r>
                        <a:rPr lang="en-IN" sz="1600" b="0" i="1">
                          <a:latin typeface="Cambria Math" panose="02040503050406030204" pitchFamily="18" charset="0"/>
                        </a:rPr>
                        <m:t>𝑥</m:t>
                      </m:r>
                      <m:r>
                        <a:rPr lang="en-IN" sz="1600" b="0" i="1">
                          <a:latin typeface="Cambria Math" panose="02040503050406030204" pitchFamily="18" charset="0"/>
                        </a:rPr>
                        <m:t>+10</m:t>
                      </m:r>
                    </m:den>
                  </m:f>
                </m:oMath>
              </a14:m>
              <a:endParaRPr lang="en-IN" sz="1600"/>
            </a:p>
          </xdr:txBody>
        </xdr:sp>
      </mc:Choice>
      <mc:Fallback>
        <xdr:sp macro="" textlink="">
          <xdr:nvSpPr>
            <xdr:cNvPr id="2" name="TextBox 1">
              <a:extLst>
                <a:ext uri="{FF2B5EF4-FFF2-40B4-BE49-F238E27FC236}">
                  <a16:creationId xmlns:a16="http://schemas.microsoft.com/office/drawing/2014/main" id="{16914349-F977-EA4C-BF6E-B4E40C2327F3}"/>
                </a:ext>
              </a:extLst>
            </xdr:cNvPr>
            <xdr:cNvSpPr txBox="1"/>
          </xdr:nvSpPr>
          <xdr:spPr>
            <a:xfrm>
              <a:off x="3519487" y="3635375"/>
              <a:ext cx="928688" cy="329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IN" sz="1200"/>
                <a:t>G(x)= </a:t>
              </a:r>
              <a:r>
                <a:rPr lang="en-IN" sz="1600" b="0" i="0">
                  <a:latin typeface="Cambria Math" panose="02040503050406030204" pitchFamily="18" charset="0"/>
                </a:rPr>
                <a:t>𝑥/(𝑥+10)</a:t>
              </a:r>
              <a:endParaRPr lang="en-IN" sz="1600"/>
            </a:p>
          </xdr:txBody>
        </xdr:sp>
      </mc:Fallback>
    </mc:AlternateContent>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isingfellow.com/"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3.xml"/><Relationship Id="rId4" Type="http://schemas.openxmlformats.org/officeDocument/2006/relationships/image" Target="../media/image2.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963A2-799C-B34F-ACA4-28B1FDEFEDF2}">
  <sheetPr>
    <tabColor theme="8" tint="0.59999389629810485"/>
  </sheetPr>
  <dimension ref="A1:M52"/>
  <sheetViews>
    <sheetView showGridLines="0" tabSelected="1" zoomScaleNormal="100" workbookViewId="0"/>
  </sheetViews>
  <sheetFormatPr baseColWidth="10" defaultColWidth="8.5" defaultRowHeight="16" x14ac:dyDescent="0.2"/>
  <cols>
    <col min="1" max="5" width="10.6640625" style="137" customWidth="1"/>
    <col min="6" max="12" width="10.83203125" style="137" customWidth="1"/>
    <col min="13" max="13" width="10.6640625" style="137" customWidth="1"/>
    <col min="14" max="16" width="10" style="137" customWidth="1"/>
    <col min="17" max="16384" width="8.5" style="137"/>
  </cols>
  <sheetData>
    <row r="1" spans="1:13" ht="14.5" customHeight="1" x14ac:dyDescent="0.2">
      <c r="A1" s="133"/>
      <c r="B1" s="134"/>
      <c r="C1" s="134"/>
      <c r="D1" s="134"/>
      <c r="E1" s="134"/>
      <c r="F1" s="134"/>
      <c r="G1" s="134"/>
      <c r="H1" s="134"/>
      <c r="I1" s="134"/>
      <c r="J1" s="134"/>
      <c r="K1" s="134"/>
      <c r="L1" s="135" t="s">
        <v>235</v>
      </c>
      <c r="M1" s="136"/>
    </row>
    <row r="2" spans="1:13" s="139" customFormat="1" x14ac:dyDescent="0.2">
      <c r="A2" s="138"/>
      <c r="M2" s="140"/>
    </row>
    <row r="3" spans="1:13" s="139" customFormat="1" ht="16" customHeight="1" x14ac:dyDescent="0.2">
      <c r="A3" s="138"/>
      <c r="M3" s="140"/>
    </row>
    <row r="4" spans="1:13" s="139" customFormat="1" ht="16" customHeight="1" x14ac:dyDescent="0.2">
      <c r="A4" s="138"/>
      <c r="M4" s="140"/>
    </row>
    <row r="5" spans="1:13" s="139" customFormat="1" ht="16" customHeight="1" x14ac:dyDescent="0.2">
      <c r="A5" s="138"/>
      <c r="M5" s="140"/>
    </row>
    <row r="6" spans="1:13" s="139" customFormat="1" ht="16" customHeight="1" x14ac:dyDescent="0.2">
      <c r="A6" s="138"/>
      <c r="B6" s="141" t="s">
        <v>236</v>
      </c>
      <c r="M6" s="140"/>
    </row>
    <row r="7" spans="1:13" s="139" customFormat="1" ht="16" customHeight="1" x14ac:dyDescent="0.2">
      <c r="A7" s="138"/>
      <c r="M7" s="140"/>
    </row>
    <row r="8" spans="1:13" s="139" customFormat="1" ht="16" customHeight="1" x14ac:dyDescent="0.25">
      <c r="A8" s="138"/>
      <c r="B8" s="142" t="s">
        <v>237</v>
      </c>
      <c r="M8" s="140"/>
    </row>
    <row r="9" spans="1:13" s="139" customFormat="1" ht="17" customHeight="1" x14ac:dyDescent="0.2">
      <c r="A9" s="138"/>
      <c r="C9" s="149" t="s">
        <v>238</v>
      </c>
      <c r="D9" s="150"/>
      <c r="E9" s="150"/>
      <c r="F9" s="150"/>
      <c r="G9" s="150"/>
      <c r="H9" s="150"/>
      <c r="I9" s="150"/>
      <c r="J9" s="150"/>
      <c r="K9" s="150"/>
      <c r="M9" s="140"/>
    </row>
    <row r="10" spans="1:13" s="139" customFormat="1" x14ac:dyDescent="0.2">
      <c r="A10" s="138"/>
      <c r="C10" s="150"/>
      <c r="D10" s="150"/>
      <c r="E10" s="150"/>
      <c r="F10" s="150"/>
      <c r="G10" s="150"/>
      <c r="H10" s="150"/>
      <c r="I10" s="150"/>
      <c r="J10" s="150"/>
      <c r="K10" s="150"/>
      <c r="M10" s="140"/>
    </row>
    <row r="11" spans="1:13" s="139" customFormat="1" ht="16" customHeight="1" x14ac:dyDescent="0.2">
      <c r="A11" s="138"/>
      <c r="C11" s="150"/>
      <c r="D11" s="150"/>
      <c r="E11" s="150"/>
      <c r="F11" s="150"/>
      <c r="G11" s="150"/>
      <c r="H11" s="150"/>
      <c r="I11" s="150"/>
      <c r="J11" s="150"/>
      <c r="K11" s="150"/>
      <c r="M11" s="140"/>
    </row>
    <row r="12" spans="1:13" s="139" customFormat="1" ht="16" customHeight="1" x14ac:dyDescent="0.2">
      <c r="A12" s="138"/>
      <c r="C12" s="150"/>
      <c r="D12" s="150"/>
      <c r="E12" s="150"/>
      <c r="F12" s="150"/>
      <c r="G12" s="150"/>
      <c r="H12" s="150"/>
      <c r="I12" s="150"/>
      <c r="J12" s="150"/>
      <c r="K12" s="150"/>
      <c r="M12" s="140"/>
    </row>
    <row r="13" spans="1:13" s="139" customFormat="1" ht="16" customHeight="1" x14ac:dyDescent="0.2">
      <c r="A13" s="138"/>
      <c r="C13" s="150"/>
      <c r="D13" s="150"/>
      <c r="E13" s="150"/>
      <c r="F13" s="150"/>
      <c r="G13" s="150"/>
      <c r="H13" s="150"/>
      <c r="I13" s="150"/>
      <c r="J13" s="150"/>
      <c r="K13" s="150"/>
      <c r="M13" s="140"/>
    </row>
    <row r="14" spans="1:13" s="139" customFormat="1" ht="16" customHeight="1" x14ac:dyDescent="0.2">
      <c r="A14" s="138"/>
      <c r="C14" s="150"/>
      <c r="D14" s="150"/>
      <c r="E14" s="150"/>
      <c r="F14" s="150"/>
      <c r="G14" s="150"/>
      <c r="H14" s="150"/>
      <c r="I14" s="150"/>
      <c r="J14" s="150"/>
      <c r="K14" s="150"/>
      <c r="M14" s="140"/>
    </row>
    <row r="15" spans="1:13" s="139" customFormat="1" ht="16" customHeight="1" x14ac:dyDescent="0.2">
      <c r="A15" s="138"/>
      <c r="C15" s="150"/>
      <c r="D15" s="150"/>
      <c r="E15" s="150"/>
      <c r="F15" s="150"/>
      <c r="G15" s="150"/>
      <c r="H15" s="150"/>
      <c r="I15" s="150"/>
      <c r="J15" s="150"/>
      <c r="K15" s="150"/>
      <c r="M15" s="140"/>
    </row>
    <row r="16" spans="1:13" s="139" customFormat="1" ht="16" customHeight="1" x14ac:dyDescent="0.2">
      <c r="A16" s="138"/>
      <c r="C16" s="150"/>
      <c r="D16" s="150"/>
      <c r="E16" s="150"/>
      <c r="F16" s="150"/>
      <c r="G16" s="150"/>
      <c r="H16" s="150"/>
      <c r="I16" s="150"/>
      <c r="J16" s="150"/>
      <c r="K16" s="150"/>
      <c r="M16" s="140"/>
    </row>
    <row r="17" spans="1:13" s="139" customFormat="1" ht="16" customHeight="1" x14ac:dyDescent="0.2">
      <c r="A17" s="138"/>
      <c r="M17" s="140"/>
    </row>
    <row r="18" spans="1:13" s="139" customFormat="1" ht="16" customHeight="1" x14ac:dyDescent="0.25">
      <c r="A18" s="138"/>
      <c r="B18" s="142" t="s">
        <v>239</v>
      </c>
      <c r="M18" s="140"/>
    </row>
    <row r="19" spans="1:13" s="139" customFormat="1" ht="17" customHeight="1" x14ac:dyDescent="0.2">
      <c r="A19" s="138"/>
      <c r="C19" s="149" t="s">
        <v>240</v>
      </c>
      <c r="D19" s="150"/>
      <c r="E19" s="150"/>
      <c r="F19" s="150"/>
      <c r="G19" s="150"/>
      <c r="H19" s="150"/>
      <c r="I19" s="150"/>
      <c r="J19" s="150"/>
      <c r="K19" s="150"/>
      <c r="M19" s="140"/>
    </row>
    <row r="20" spans="1:13" s="139" customFormat="1" x14ac:dyDescent="0.2">
      <c r="A20" s="138"/>
      <c r="C20" s="150"/>
      <c r="D20" s="150"/>
      <c r="E20" s="150"/>
      <c r="F20" s="150"/>
      <c r="G20" s="150"/>
      <c r="H20" s="150"/>
      <c r="I20" s="150"/>
      <c r="J20" s="150"/>
      <c r="K20" s="150"/>
      <c r="M20" s="140"/>
    </row>
    <row r="21" spans="1:13" s="139" customFormat="1" x14ac:dyDescent="0.2">
      <c r="A21" s="138"/>
      <c r="C21" s="150"/>
      <c r="D21" s="150"/>
      <c r="E21" s="150"/>
      <c r="F21" s="150"/>
      <c r="G21" s="150"/>
      <c r="H21" s="150"/>
      <c r="I21" s="150"/>
      <c r="J21" s="150"/>
      <c r="K21" s="150"/>
      <c r="M21" s="140"/>
    </row>
    <row r="22" spans="1:13" s="139" customFormat="1" x14ac:dyDescent="0.2">
      <c r="A22" s="138"/>
      <c r="C22" s="150"/>
      <c r="D22" s="150"/>
      <c r="E22" s="150"/>
      <c r="F22" s="150"/>
      <c r="G22" s="150"/>
      <c r="H22" s="150"/>
      <c r="I22" s="150"/>
      <c r="J22" s="150"/>
      <c r="K22" s="150"/>
      <c r="M22" s="140"/>
    </row>
    <row r="23" spans="1:13" s="139" customFormat="1" x14ac:dyDescent="0.2">
      <c r="A23" s="138"/>
      <c r="C23" s="150"/>
      <c r="D23" s="150"/>
      <c r="E23" s="150"/>
      <c r="F23" s="150"/>
      <c r="G23" s="150"/>
      <c r="H23" s="150"/>
      <c r="I23" s="150"/>
      <c r="J23" s="150"/>
      <c r="K23" s="150"/>
      <c r="M23" s="140"/>
    </row>
    <row r="24" spans="1:13" s="139" customFormat="1" x14ac:dyDescent="0.2">
      <c r="A24" s="138"/>
      <c r="C24" s="150"/>
      <c r="D24" s="150"/>
      <c r="E24" s="150"/>
      <c r="F24" s="150"/>
      <c r="G24" s="150"/>
      <c r="H24" s="150"/>
      <c r="I24" s="150"/>
      <c r="J24" s="150"/>
      <c r="K24" s="150"/>
      <c r="M24" s="140"/>
    </row>
    <row r="25" spans="1:13" s="139" customFormat="1" x14ac:dyDescent="0.2">
      <c r="A25" s="138"/>
      <c r="C25" s="150"/>
      <c r="D25" s="150"/>
      <c r="E25" s="150"/>
      <c r="F25" s="150"/>
      <c r="G25" s="150"/>
      <c r="H25" s="150"/>
      <c r="I25" s="150"/>
      <c r="J25" s="150"/>
      <c r="K25" s="150"/>
      <c r="M25" s="140"/>
    </row>
    <row r="26" spans="1:13" s="139" customFormat="1" x14ac:dyDescent="0.2">
      <c r="A26" s="138"/>
      <c r="C26" s="150"/>
      <c r="D26" s="150"/>
      <c r="E26" s="150"/>
      <c r="F26" s="150"/>
      <c r="G26" s="150"/>
      <c r="H26" s="150"/>
      <c r="I26" s="150"/>
      <c r="J26" s="150"/>
      <c r="K26" s="150"/>
      <c r="M26" s="140"/>
    </row>
    <row r="27" spans="1:13" s="139" customFormat="1" x14ac:dyDescent="0.2">
      <c r="A27" s="138"/>
      <c r="C27" s="150"/>
      <c r="D27" s="150"/>
      <c r="E27" s="150"/>
      <c r="F27" s="150"/>
      <c r="G27" s="150"/>
      <c r="H27" s="150"/>
      <c r="I27" s="150"/>
      <c r="J27" s="150"/>
      <c r="K27" s="150"/>
      <c r="M27" s="140"/>
    </row>
    <row r="28" spans="1:13" s="139" customFormat="1" x14ac:dyDescent="0.2">
      <c r="A28" s="138"/>
      <c r="C28" s="150"/>
      <c r="D28" s="150"/>
      <c r="E28" s="150"/>
      <c r="F28" s="150"/>
      <c r="G28" s="150"/>
      <c r="H28" s="150"/>
      <c r="I28" s="150"/>
      <c r="J28" s="150"/>
      <c r="K28" s="150"/>
      <c r="M28" s="140"/>
    </row>
    <row r="29" spans="1:13" s="139" customFormat="1" x14ac:dyDescent="0.2">
      <c r="A29" s="138"/>
      <c r="C29" s="143"/>
      <c r="D29" s="143"/>
      <c r="E29" s="143"/>
      <c r="F29" s="143"/>
      <c r="G29" s="143"/>
      <c r="H29" s="143"/>
      <c r="I29" s="143"/>
      <c r="J29" s="143"/>
      <c r="K29" s="143"/>
      <c r="M29" s="140"/>
    </row>
    <row r="30" spans="1:13" s="139" customFormat="1" ht="19" x14ac:dyDescent="0.25">
      <c r="A30" s="138"/>
      <c r="C30" s="144" t="s">
        <v>241</v>
      </c>
      <c r="D30" s="143"/>
      <c r="E30" s="143"/>
      <c r="F30" s="143"/>
      <c r="G30" s="143"/>
      <c r="H30" s="143"/>
      <c r="I30" s="143"/>
      <c r="J30" s="143"/>
      <c r="K30" s="143"/>
      <c r="M30" s="140"/>
    </row>
    <row r="31" spans="1:13" s="139" customFormat="1" x14ac:dyDescent="0.2">
      <c r="A31" s="138"/>
      <c r="C31" s="149" t="s">
        <v>242</v>
      </c>
      <c r="D31" s="149"/>
      <c r="E31" s="149"/>
      <c r="F31" s="149"/>
      <c r="G31" s="149"/>
      <c r="H31" s="149"/>
      <c r="I31" s="149"/>
      <c r="J31" s="149"/>
      <c r="K31" s="149"/>
      <c r="M31" s="140"/>
    </row>
    <row r="32" spans="1:13" s="139" customFormat="1" x14ac:dyDescent="0.2">
      <c r="A32" s="138"/>
      <c r="C32" s="149"/>
      <c r="D32" s="149"/>
      <c r="E32" s="149"/>
      <c r="F32" s="149"/>
      <c r="G32" s="149"/>
      <c r="H32" s="149"/>
      <c r="I32" s="149"/>
      <c r="J32" s="149"/>
      <c r="K32" s="149"/>
      <c r="M32" s="140"/>
    </row>
    <row r="33" spans="1:13" s="139" customFormat="1" x14ac:dyDescent="0.2">
      <c r="A33" s="138"/>
      <c r="C33" s="149"/>
      <c r="D33" s="149"/>
      <c r="E33" s="149"/>
      <c r="F33" s="149"/>
      <c r="G33" s="149"/>
      <c r="H33" s="149"/>
      <c r="I33" s="149"/>
      <c r="J33" s="149"/>
      <c r="K33" s="149"/>
      <c r="M33" s="140"/>
    </row>
    <row r="34" spans="1:13" s="139" customFormat="1" x14ac:dyDescent="0.2">
      <c r="A34" s="138"/>
      <c r="C34" s="149"/>
      <c r="D34" s="149"/>
      <c r="E34" s="149"/>
      <c r="F34" s="149"/>
      <c r="G34" s="149"/>
      <c r="H34" s="149"/>
      <c r="I34" s="149"/>
      <c r="J34" s="149"/>
      <c r="K34" s="149"/>
      <c r="M34" s="140"/>
    </row>
    <row r="35" spans="1:13" s="139" customFormat="1" x14ac:dyDescent="0.2">
      <c r="A35" s="138"/>
      <c r="C35" s="149"/>
      <c r="D35" s="149"/>
      <c r="E35" s="149"/>
      <c r="F35" s="149"/>
      <c r="G35" s="149"/>
      <c r="H35" s="149"/>
      <c r="I35" s="149"/>
      <c r="J35" s="149"/>
      <c r="K35" s="149"/>
      <c r="M35" s="140"/>
    </row>
    <row r="36" spans="1:13" s="139" customFormat="1" x14ac:dyDescent="0.2">
      <c r="A36" s="138"/>
      <c r="C36" s="149"/>
      <c r="D36" s="149"/>
      <c r="E36" s="149"/>
      <c r="F36" s="149"/>
      <c r="G36" s="149"/>
      <c r="H36" s="149"/>
      <c r="I36" s="149"/>
      <c r="J36" s="149"/>
      <c r="K36" s="149"/>
      <c r="M36" s="140"/>
    </row>
    <row r="37" spans="1:13" s="139" customFormat="1" x14ac:dyDescent="0.2">
      <c r="A37" s="138"/>
      <c r="C37" s="149"/>
      <c r="D37" s="149"/>
      <c r="E37" s="149"/>
      <c r="F37" s="149"/>
      <c r="G37" s="149"/>
      <c r="H37" s="149"/>
      <c r="I37" s="149"/>
      <c r="J37" s="149"/>
      <c r="K37" s="149"/>
      <c r="M37" s="140"/>
    </row>
    <row r="38" spans="1:13" s="139" customFormat="1" x14ac:dyDescent="0.2">
      <c r="A38" s="138"/>
      <c r="C38" s="149"/>
      <c r="D38" s="149"/>
      <c r="E38" s="149"/>
      <c r="F38" s="149"/>
      <c r="G38" s="149"/>
      <c r="H38" s="149"/>
      <c r="I38" s="149"/>
      <c r="J38" s="149"/>
      <c r="K38" s="149"/>
      <c r="M38" s="140"/>
    </row>
    <row r="39" spans="1:13" s="139" customFormat="1" x14ac:dyDescent="0.2">
      <c r="A39" s="138"/>
      <c r="C39" s="149"/>
      <c r="D39" s="149"/>
      <c r="E39" s="149"/>
      <c r="F39" s="149"/>
      <c r="G39" s="149"/>
      <c r="H39" s="149"/>
      <c r="I39" s="149"/>
      <c r="J39" s="149"/>
      <c r="K39" s="149"/>
      <c r="M39" s="140"/>
    </row>
    <row r="40" spans="1:13" s="139" customFormat="1" x14ac:dyDescent="0.2">
      <c r="A40" s="138"/>
      <c r="C40" s="145"/>
      <c r="D40" s="145"/>
      <c r="E40" s="145"/>
      <c r="F40" s="145"/>
      <c r="G40" s="145"/>
      <c r="H40" s="145"/>
      <c r="I40" s="145"/>
      <c r="J40" s="145"/>
      <c r="K40" s="145"/>
      <c r="M40" s="140"/>
    </row>
    <row r="41" spans="1:13" s="139" customFormat="1" ht="21" x14ac:dyDescent="0.25">
      <c r="A41" s="138"/>
      <c r="B41" s="142" t="s">
        <v>243</v>
      </c>
      <c r="M41" s="140"/>
    </row>
    <row r="42" spans="1:13" s="139" customFormat="1" x14ac:dyDescent="0.2">
      <c r="A42" s="138"/>
      <c r="C42" s="149" t="s">
        <v>244</v>
      </c>
      <c r="D42" s="150"/>
      <c r="E42" s="150"/>
      <c r="F42" s="150"/>
      <c r="G42" s="150"/>
      <c r="H42" s="150"/>
      <c r="I42" s="150"/>
      <c r="J42" s="150"/>
      <c r="K42" s="150"/>
      <c r="M42" s="140"/>
    </row>
    <row r="43" spans="1:13" s="139" customFormat="1" x14ac:dyDescent="0.2">
      <c r="A43" s="138"/>
      <c r="C43" s="150"/>
      <c r="D43" s="150"/>
      <c r="E43" s="150"/>
      <c r="F43" s="150"/>
      <c r="G43" s="150"/>
      <c r="H43" s="150"/>
      <c r="I43" s="150"/>
      <c r="J43" s="150"/>
      <c r="K43" s="150"/>
      <c r="M43" s="140"/>
    </row>
    <row r="44" spans="1:13" s="139" customFormat="1" x14ac:dyDescent="0.2">
      <c r="A44" s="138"/>
      <c r="C44" s="150"/>
      <c r="D44" s="150"/>
      <c r="E44" s="150"/>
      <c r="F44" s="150"/>
      <c r="G44" s="150"/>
      <c r="H44" s="150"/>
      <c r="I44" s="150"/>
      <c r="J44" s="150"/>
      <c r="K44" s="150"/>
      <c r="M44" s="140"/>
    </row>
    <row r="45" spans="1:13" s="139" customFormat="1" x14ac:dyDescent="0.2">
      <c r="A45" s="138"/>
      <c r="C45" s="150"/>
      <c r="D45" s="150"/>
      <c r="E45" s="150"/>
      <c r="F45" s="150"/>
      <c r="G45" s="150"/>
      <c r="H45" s="150"/>
      <c r="I45" s="150"/>
      <c r="J45" s="150"/>
      <c r="K45" s="150"/>
      <c r="M45" s="140"/>
    </row>
    <row r="46" spans="1:13" s="139" customFormat="1" x14ac:dyDescent="0.2">
      <c r="A46" s="138"/>
      <c r="C46" s="150"/>
      <c r="D46" s="150"/>
      <c r="E46" s="150"/>
      <c r="F46" s="150"/>
      <c r="G46" s="150"/>
      <c r="H46" s="150"/>
      <c r="I46" s="150"/>
      <c r="J46" s="150"/>
      <c r="K46" s="150"/>
      <c r="M46" s="140"/>
    </row>
    <row r="47" spans="1:13" s="139" customFormat="1" x14ac:dyDescent="0.2">
      <c r="A47" s="138"/>
      <c r="C47" s="150"/>
      <c r="D47" s="150"/>
      <c r="E47" s="150"/>
      <c r="F47" s="150"/>
      <c r="G47" s="150"/>
      <c r="H47" s="150"/>
      <c r="I47" s="150"/>
      <c r="J47" s="150"/>
      <c r="K47" s="150"/>
      <c r="M47" s="140"/>
    </row>
    <row r="48" spans="1:13" s="139" customFormat="1" x14ac:dyDescent="0.2">
      <c r="A48" s="138"/>
      <c r="C48" s="150"/>
      <c r="D48" s="150"/>
      <c r="E48" s="150"/>
      <c r="F48" s="150"/>
      <c r="G48" s="150"/>
      <c r="H48" s="150"/>
      <c r="I48" s="150"/>
      <c r="J48" s="150"/>
      <c r="K48" s="150"/>
      <c r="M48" s="140"/>
    </row>
    <row r="49" spans="1:13" s="139" customFormat="1" x14ac:dyDescent="0.2">
      <c r="A49" s="138"/>
      <c r="C49" s="150"/>
      <c r="D49" s="150"/>
      <c r="E49" s="150"/>
      <c r="F49" s="150"/>
      <c r="G49" s="150"/>
      <c r="H49" s="150"/>
      <c r="I49" s="150"/>
      <c r="J49" s="150"/>
      <c r="K49" s="150"/>
      <c r="M49" s="140"/>
    </row>
    <row r="50" spans="1:13" s="139" customFormat="1" x14ac:dyDescent="0.2">
      <c r="A50" s="138"/>
      <c r="C50" s="150"/>
      <c r="D50" s="150"/>
      <c r="E50" s="150"/>
      <c r="F50" s="150"/>
      <c r="G50" s="150"/>
      <c r="H50" s="150"/>
      <c r="I50" s="150"/>
      <c r="J50" s="150"/>
      <c r="K50" s="150"/>
      <c r="M50" s="140"/>
    </row>
    <row r="51" spans="1:13" s="139" customFormat="1" x14ac:dyDescent="0.2">
      <c r="A51" s="138"/>
      <c r="C51" s="145"/>
      <c r="D51" s="145"/>
      <c r="E51" s="145"/>
      <c r="F51" s="145"/>
      <c r="G51" s="145"/>
      <c r="H51" s="145"/>
      <c r="I51" s="145"/>
      <c r="J51" s="145"/>
      <c r="K51" s="145"/>
      <c r="M51" s="140"/>
    </row>
    <row r="52" spans="1:13" ht="17" thickBot="1" x14ac:dyDescent="0.25">
      <c r="A52" s="146"/>
      <c r="B52" s="147"/>
      <c r="C52" s="147"/>
      <c r="D52" s="147"/>
      <c r="E52" s="147"/>
      <c r="F52" s="147"/>
      <c r="G52" s="147"/>
      <c r="H52" s="147"/>
      <c r="I52" s="147"/>
      <c r="J52" s="147"/>
      <c r="K52" s="147"/>
      <c r="L52" s="147"/>
      <c r="M52" s="148"/>
    </row>
  </sheetData>
  <mergeCells count="4">
    <mergeCell ref="C9:K16"/>
    <mergeCell ref="C19:K28"/>
    <mergeCell ref="C31:K39"/>
    <mergeCell ref="C42:K50"/>
  </mergeCells>
  <hyperlinks>
    <hyperlink ref="B6" r:id="rId1" xr:uid="{9D6B64A9-5727-0841-BB0F-D1CA2E2BD424}"/>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A0A99-4027-5E44-8A01-22908ADDB831}">
  <dimension ref="A1:BM189"/>
  <sheetViews>
    <sheetView zoomScaleNormal="100" workbookViewId="0"/>
  </sheetViews>
  <sheetFormatPr baseColWidth="10" defaultColWidth="10.83203125" defaultRowHeight="16" outlineLevelCol="1" x14ac:dyDescent="0.2"/>
  <cols>
    <col min="1" max="1" width="4.6640625" style="36" customWidth="1"/>
    <col min="2" max="10" width="10.83203125" style="36"/>
    <col min="11" max="11" width="11.5" style="36" bestFit="1" customWidth="1"/>
    <col min="12" max="20" width="10.83203125" style="36" hidden="1" customWidth="1" outlineLevel="1"/>
    <col min="21" max="21" width="10.83203125" style="36" collapsed="1"/>
    <col min="22" max="16384" width="10.83203125" style="36"/>
  </cols>
  <sheetData>
    <row r="1" spans="1:19" ht="19" x14ac:dyDescent="0.25">
      <c r="A1" s="1" t="s">
        <v>202</v>
      </c>
      <c r="B1" s="19"/>
      <c r="C1" s="33"/>
      <c r="D1" s="33"/>
      <c r="E1" s="33"/>
      <c r="F1" s="34"/>
      <c r="G1" s="34"/>
      <c r="H1" s="34"/>
      <c r="I1" s="34"/>
      <c r="J1" s="35"/>
      <c r="K1" s="3" t="s">
        <v>177</v>
      </c>
    </row>
    <row r="2" spans="1:19" x14ac:dyDescent="0.2">
      <c r="A2" s="2"/>
      <c r="B2" s="34"/>
      <c r="C2" s="34"/>
      <c r="D2" s="34"/>
      <c r="E2" s="34"/>
      <c r="F2" s="34"/>
      <c r="G2" s="34"/>
      <c r="H2" s="34"/>
      <c r="I2" s="34"/>
      <c r="J2" s="35"/>
      <c r="L2" s="7" t="s">
        <v>3</v>
      </c>
      <c r="N2" s="38"/>
    </row>
    <row r="3" spans="1:19" x14ac:dyDescent="0.2">
      <c r="A3" s="2"/>
      <c r="B3" s="34" t="s">
        <v>144</v>
      </c>
      <c r="C3" s="34"/>
      <c r="D3" s="34"/>
      <c r="E3" s="34"/>
      <c r="F3" s="34"/>
      <c r="G3" s="34"/>
      <c r="H3" s="34"/>
      <c r="I3" s="34"/>
      <c r="J3" s="35"/>
      <c r="M3" s="7" t="s">
        <v>159</v>
      </c>
    </row>
    <row r="4" spans="1:19" ht="17" thickBot="1" x14ac:dyDescent="0.25">
      <c r="A4" s="2"/>
      <c r="B4" s="34"/>
      <c r="C4" s="34"/>
      <c r="D4" s="34"/>
      <c r="E4" s="34"/>
      <c r="F4" s="34"/>
      <c r="G4" s="34"/>
      <c r="H4" s="34"/>
      <c r="I4" s="34"/>
      <c r="J4" s="35"/>
      <c r="M4" s="36" t="s">
        <v>160</v>
      </c>
      <c r="N4" s="83">
        <f>SQRT(E16^2+F16^2)</f>
        <v>4303.2810737854434</v>
      </c>
    </row>
    <row r="5" spans="1:19" ht="17" thickBot="1" x14ac:dyDescent="0.25">
      <c r="A5" s="2"/>
      <c r="B5" s="34" t="s">
        <v>145</v>
      </c>
      <c r="C5" s="34"/>
      <c r="D5" s="34"/>
      <c r="E5" s="34"/>
      <c r="F5" s="34"/>
      <c r="G5" s="34"/>
      <c r="H5" s="34"/>
      <c r="I5" s="34"/>
      <c r="J5" s="35"/>
      <c r="L5" s="7"/>
      <c r="M5" s="114" t="s">
        <v>53</v>
      </c>
      <c r="N5" s="115">
        <f>N4/D16</f>
        <v>0.19365829952681893</v>
      </c>
    </row>
    <row r="6" spans="1:19" x14ac:dyDescent="0.2">
      <c r="A6" s="2"/>
      <c r="B6" s="34" t="s">
        <v>146</v>
      </c>
      <c r="C6" s="34"/>
      <c r="D6" s="34"/>
      <c r="E6" s="34"/>
      <c r="F6" s="34"/>
      <c r="G6" s="34"/>
      <c r="H6" s="34"/>
      <c r="I6" s="34"/>
      <c r="J6" s="35"/>
    </row>
    <row r="7" spans="1:19" x14ac:dyDescent="0.2">
      <c r="A7" s="2"/>
      <c r="B7" s="34"/>
      <c r="C7" s="34"/>
      <c r="D7" s="34"/>
      <c r="E7" s="34"/>
      <c r="F7" s="34"/>
      <c r="G7" s="34"/>
      <c r="H7" s="34"/>
      <c r="I7" s="34"/>
      <c r="J7" s="35"/>
      <c r="M7" s="7" t="s">
        <v>161</v>
      </c>
    </row>
    <row r="8" spans="1:19" ht="17" thickBot="1" x14ac:dyDescent="0.25">
      <c r="A8" s="2"/>
      <c r="B8" s="34"/>
      <c r="C8" s="34"/>
      <c r="D8" s="151" t="s">
        <v>153</v>
      </c>
      <c r="E8" s="151"/>
      <c r="F8" s="151"/>
      <c r="G8" s="151" t="s">
        <v>154</v>
      </c>
      <c r="H8" s="151"/>
      <c r="I8" s="151"/>
      <c r="J8" s="35"/>
      <c r="M8" s="36" t="s">
        <v>160</v>
      </c>
      <c r="N8" s="83">
        <f>SQRT(H16^2+I16^2)</f>
        <v>3110.0819924883008</v>
      </c>
    </row>
    <row r="9" spans="1:19" ht="18" thickBot="1" x14ac:dyDescent="0.25">
      <c r="A9" s="2"/>
      <c r="B9" s="164" t="s">
        <v>7</v>
      </c>
      <c r="C9" s="164" t="s">
        <v>147</v>
      </c>
      <c r="D9" s="166" t="s">
        <v>148</v>
      </c>
      <c r="E9" s="6" t="s">
        <v>149</v>
      </c>
      <c r="F9" s="164" t="s">
        <v>151</v>
      </c>
      <c r="G9" s="166" t="s">
        <v>148</v>
      </c>
      <c r="H9" s="6" t="s">
        <v>149</v>
      </c>
      <c r="I9" s="166" t="s">
        <v>151</v>
      </c>
      <c r="J9" s="35"/>
      <c r="M9" s="114" t="s">
        <v>53</v>
      </c>
      <c r="N9" s="115">
        <f>N8/G16</f>
        <v>0.13510347491261079</v>
      </c>
    </row>
    <row r="10" spans="1:19" ht="17" x14ac:dyDescent="0.2">
      <c r="A10" s="2"/>
      <c r="B10" s="165"/>
      <c r="C10" s="165"/>
      <c r="D10" s="167"/>
      <c r="E10" s="22" t="s">
        <v>150</v>
      </c>
      <c r="F10" s="165"/>
      <c r="G10" s="167"/>
      <c r="H10" s="22" t="s">
        <v>150</v>
      </c>
      <c r="I10" s="167"/>
      <c r="J10" s="35"/>
    </row>
    <row r="11" spans="1:19" x14ac:dyDescent="0.2">
      <c r="A11" s="2"/>
      <c r="B11" s="10">
        <v>2012</v>
      </c>
      <c r="C11" s="25">
        <v>3873</v>
      </c>
      <c r="D11" s="14">
        <v>2524</v>
      </c>
      <c r="E11" s="6">
        <v>405</v>
      </c>
      <c r="F11" s="10">
        <v>518</v>
      </c>
      <c r="G11" s="14">
        <v>2625</v>
      </c>
      <c r="H11" s="6">
        <v>402</v>
      </c>
      <c r="I11" s="6">
        <v>358</v>
      </c>
      <c r="J11" s="35"/>
      <c r="L11" s="7" t="s">
        <v>4</v>
      </c>
      <c r="N11" s="38"/>
    </row>
    <row r="12" spans="1:19" x14ac:dyDescent="0.2">
      <c r="A12" s="2"/>
      <c r="B12" s="10">
        <v>2013</v>
      </c>
      <c r="C12" s="25">
        <v>3692</v>
      </c>
      <c r="D12" s="14">
        <v>3558</v>
      </c>
      <c r="E12" s="6">
        <v>481</v>
      </c>
      <c r="F12" s="10">
        <v>705</v>
      </c>
      <c r="G12" s="14">
        <v>3384</v>
      </c>
      <c r="H12" s="6">
        <v>457</v>
      </c>
      <c r="I12" s="6">
        <v>396</v>
      </c>
      <c r="J12" s="35"/>
      <c r="L12" s="156" t="s">
        <v>180</v>
      </c>
      <c r="M12" s="156"/>
      <c r="N12" s="156"/>
      <c r="O12" s="156"/>
      <c r="P12" s="156"/>
      <c r="Q12" s="156"/>
      <c r="R12" s="156"/>
      <c r="S12" s="156"/>
    </row>
    <row r="13" spans="1:19" x14ac:dyDescent="0.2">
      <c r="A13" s="2"/>
      <c r="B13" s="10">
        <v>2014</v>
      </c>
      <c r="C13" s="25">
        <v>2864</v>
      </c>
      <c r="D13" s="14">
        <v>4910</v>
      </c>
      <c r="E13" s="6">
        <v>565</v>
      </c>
      <c r="F13" s="10">
        <v>969</v>
      </c>
      <c r="G13" s="14">
        <v>4378</v>
      </c>
      <c r="H13" s="6">
        <v>519</v>
      </c>
      <c r="I13" s="6">
        <v>421</v>
      </c>
      <c r="J13" s="35"/>
      <c r="L13" s="156"/>
      <c r="M13" s="156"/>
      <c r="N13" s="156"/>
      <c r="O13" s="156"/>
      <c r="P13" s="156"/>
      <c r="Q13" s="156"/>
      <c r="R13" s="156"/>
      <c r="S13" s="156"/>
    </row>
    <row r="14" spans="1:19" x14ac:dyDescent="0.2">
      <c r="A14" s="2"/>
      <c r="B14" s="10">
        <v>2015</v>
      </c>
      <c r="C14" s="25">
        <v>1363</v>
      </c>
      <c r="D14" s="14">
        <v>5002</v>
      </c>
      <c r="E14" s="6">
        <v>570</v>
      </c>
      <c r="F14" s="25">
        <v>1228</v>
      </c>
      <c r="G14" s="14">
        <v>5631</v>
      </c>
      <c r="H14" s="6">
        <v>589</v>
      </c>
      <c r="I14" s="6">
        <v>430</v>
      </c>
      <c r="J14" s="35"/>
      <c r="L14" s="156"/>
      <c r="M14" s="156"/>
      <c r="N14" s="156"/>
      <c r="O14" s="156"/>
      <c r="P14" s="156"/>
      <c r="Q14" s="156"/>
      <c r="R14" s="156"/>
      <c r="S14" s="156"/>
    </row>
    <row r="15" spans="1:19" x14ac:dyDescent="0.2">
      <c r="A15" s="2"/>
      <c r="B15" s="24">
        <v>2016</v>
      </c>
      <c r="C15" s="24">
        <v>344</v>
      </c>
      <c r="D15" s="23">
        <v>6227</v>
      </c>
      <c r="E15" s="22">
        <v>636</v>
      </c>
      <c r="F15" s="26">
        <v>2839</v>
      </c>
      <c r="G15" s="23">
        <v>7002</v>
      </c>
      <c r="H15" s="22">
        <v>657</v>
      </c>
      <c r="I15" s="22">
        <v>439</v>
      </c>
      <c r="J15" s="35"/>
      <c r="L15" s="156"/>
      <c r="M15" s="156"/>
      <c r="N15" s="156"/>
      <c r="O15" s="156"/>
      <c r="P15" s="156"/>
      <c r="Q15" s="156"/>
      <c r="R15" s="156"/>
      <c r="S15" s="156"/>
    </row>
    <row r="16" spans="1:19" ht="17" x14ac:dyDescent="0.2">
      <c r="A16" s="2"/>
      <c r="B16" s="10" t="s">
        <v>152</v>
      </c>
      <c r="C16" s="25">
        <v>12136</v>
      </c>
      <c r="D16" s="14">
        <v>22221</v>
      </c>
      <c r="E16" s="14">
        <v>1202</v>
      </c>
      <c r="F16" s="25">
        <v>4132</v>
      </c>
      <c r="G16" s="14">
        <v>23020</v>
      </c>
      <c r="H16" s="14">
        <v>1191</v>
      </c>
      <c r="I16" s="14">
        <v>2873</v>
      </c>
      <c r="J16" s="35"/>
    </row>
    <row r="17" spans="1:20" x14ac:dyDescent="0.2">
      <c r="A17" s="2"/>
      <c r="B17" s="34"/>
      <c r="C17" s="34"/>
      <c r="D17" s="34"/>
      <c r="E17" s="34"/>
      <c r="F17" s="34"/>
      <c r="G17" s="34"/>
      <c r="H17" s="34"/>
      <c r="I17" s="34"/>
      <c r="J17" s="35"/>
      <c r="L17" s="7" t="s">
        <v>5</v>
      </c>
      <c r="N17" s="38"/>
    </row>
    <row r="18" spans="1:20" ht="16" customHeight="1" x14ac:dyDescent="0.2">
      <c r="A18" s="2"/>
      <c r="B18" s="34"/>
      <c r="C18" s="34"/>
      <c r="D18" s="34"/>
      <c r="E18" s="34"/>
      <c r="F18" s="34"/>
      <c r="G18" s="34"/>
      <c r="H18" s="34"/>
      <c r="I18" s="34"/>
      <c r="J18" s="35"/>
      <c r="L18" s="156" t="s">
        <v>181</v>
      </c>
      <c r="M18" s="156"/>
      <c r="N18" s="156"/>
      <c r="O18" s="156"/>
      <c r="P18" s="156"/>
      <c r="Q18" s="156"/>
      <c r="R18" s="156"/>
      <c r="S18" s="156"/>
    </row>
    <row r="19" spans="1:20" x14ac:dyDescent="0.2">
      <c r="A19" s="34" t="s">
        <v>0</v>
      </c>
      <c r="B19" s="34" t="s">
        <v>156</v>
      </c>
      <c r="C19" s="34"/>
      <c r="D19" s="34"/>
      <c r="E19" s="34"/>
      <c r="F19" s="34"/>
      <c r="G19" s="34"/>
      <c r="H19" s="34"/>
      <c r="I19" s="34"/>
      <c r="J19" s="35"/>
      <c r="L19" s="156"/>
      <c r="M19" s="156"/>
      <c r="N19" s="156"/>
      <c r="O19" s="156"/>
      <c r="P19" s="156"/>
      <c r="Q19" s="156"/>
      <c r="R19" s="156"/>
      <c r="S19" s="156"/>
    </row>
    <row r="20" spans="1:20" x14ac:dyDescent="0.2">
      <c r="A20" s="2"/>
      <c r="B20" s="34"/>
      <c r="C20" s="34"/>
      <c r="D20" s="34"/>
      <c r="E20" s="34"/>
      <c r="F20" s="34"/>
      <c r="G20" s="34"/>
      <c r="H20" s="34"/>
      <c r="I20" s="34"/>
      <c r="J20" s="35"/>
      <c r="M20" s="84"/>
      <c r="N20" s="84"/>
      <c r="O20" s="84"/>
      <c r="P20" s="84"/>
      <c r="Q20" s="84"/>
      <c r="R20" s="84"/>
      <c r="S20" s="84"/>
      <c r="T20" s="84"/>
    </row>
    <row r="21" spans="1:20" x14ac:dyDescent="0.2">
      <c r="A21" s="34" t="s">
        <v>1</v>
      </c>
      <c r="B21" s="34" t="s">
        <v>155</v>
      </c>
      <c r="C21" s="34"/>
      <c r="D21" s="34"/>
      <c r="E21" s="34"/>
      <c r="F21" s="34"/>
      <c r="G21" s="34"/>
      <c r="H21" s="34"/>
      <c r="I21" s="34"/>
      <c r="J21" s="35"/>
      <c r="L21" s="7" t="s">
        <v>140</v>
      </c>
    </row>
    <row r="22" spans="1:20" ht="16" customHeight="1" x14ac:dyDescent="0.2">
      <c r="A22" s="2"/>
      <c r="B22" s="34"/>
      <c r="C22" s="34"/>
      <c r="D22" s="34"/>
      <c r="E22" s="34"/>
      <c r="F22" s="34"/>
      <c r="G22" s="34"/>
      <c r="H22" s="34"/>
      <c r="I22" s="34"/>
      <c r="J22" s="35"/>
      <c r="L22" s="156" t="s">
        <v>182</v>
      </c>
      <c r="M22" s="156"/>
      <c r="N22" s="156"/>
      <c r="O22" s="156"/>
      <c r="P22" s="156"/>
      <c r="Q22" s="156"/>
      <c r="R22" s="156"/>
      <c r="S22" s="156"/>
    </row>
    <row r="23" spans="1:20" x14ac:dyDescent="0.2">
      <c r="A23" s="34" t="s">
        <v>2</v>
      </c>
      <c r="B23" s="34" t="s">
        <v>157</v>
      </c>
      <c r="C23" s="34"/>
      <c r="D23" s="34"/>
      <c r="E23" s="34"/>
      <c r="F23" s="34"/>
      <c r="G23" s="34"/>
      <c r="H23" s="34"/>
      <c r="I23" s="34"/>
      <c r="J23" s="35"/>
      <c r="L23" s="156"/>
      <c r="M23" s="156"/>
      <c r="N23" s="156"/>
      <c r="O23" s="156"/>
      <c r="P23" s="156"/>
      <c r="Q23" s="156"/>
      <c r="R23" s="156"/>
      <c r="S23" s="156"/>
    </row>
    <row r="24" spans="1:20" x14ac:dyDescent="0.2">
      <c r="A24" s="2"/>
      <c r="B24" s="34"/>
      <c r="C24" s="34"/>
      <c r="D24" s="34"/>
      <c r="E24" s="34"/>
      <c r="F24" s="34"/>
      <c r="G24" s="34"/>
      <c r="H24" s="34"/>
      <c r="I24" s="34"/>
      <c r="J24" s="35"/>
      <c r="L24" s="156"/>
      <c r="M24" s="156"/>
      <c r="N24" s="156"/>
      <c r="O24" s="156"/>
      <c r="P24" s="156"/>
      <c r="Q24" s="156"/>
      <c r="R24" s="156"/>
      <c r="S24" s="156"/>
    </row>
    <row r="25" spans="1:20" x14ac:dyDescent="0.2">
      <c r="A25" s="34" t="s">
        <v>138</v>
      </c>
      <c r="B25" s="34" t="s">
        <v>158</v>
      </c>
      <c r="C25" s="34"/>
      <c r="D25" s="34"/>
      <c r="E25" s="34"/>
      <c r="F25" s="34"/>
      <c r="G25" s="34"/>
      <c r="H25" s="34"/>
      <c r="I25" s="34"/>
      <c r="J25" s="35"/>
      <c r="M25" s="84"/>
      <c r="N25" s="84"/>
      <c r="O25" s="84"/>
      <c r="P25" s="84"/>
      <c r="Q25" s="84"/>
      <c r="R25" s="84"/>
      <c r="S25" s="84"/>
      <c r="T25" s="84"/>
    </row>
    <row r="26" spans="1:20" x14ac:dyDescent="0.2">
      <c r="A26" s="2"/>
      <c r="B26" s="34"/>
      <c r="C26" s="34"/>
      <c r="D26" s="34"/>
      <c r="E26" s="34"/>
      <c r="F26" s="34"/>
      <c r="G26" s="34"/>
      <c r="H26" s="34"/>
      <c r="I26" s="34"/>
      <c r="J26" s="35"/>
    </row>
    <row r="27" spans="1:20" ht="20" thickBot="1" x14ac:dyDescent="0.3">
      <c r="A27" s="2"/>
      <c r="B27" s="34"/>
      <c r="C27" s="34"/>
      <c r="D27" s="34"/>
      <c r="E27" s="34"/>
      <c r="F27" s="34"/>
      <c r="G27" s="34"/>
      <c r="H27" s="34"/>
      <c r="I27" s="34"/>
      <c r="J27" s="35"/>
      <c r="L27" s="3" t="s">
        <v>220</v>
      </c>
    </row>
    <row r="28" spans="1:20" ht="17" thickBot="1" x14ac:dyDescent="0.25">
      <c r="A28" s="152" t="s">
        <v>176</v>
      </c>
      <c r="B28" s="153"/>
      <c r="C28" s="153"/>
      <c r="D28" s="153"/>
      <c r="E28" s="153"/>
      <c r="F28" s="153"/>
      <c r="G28" s="153"/>
      <c r="H28" s="153"/>
      <c r="I28" s="153"/>
      <c r="J28" s="154"/>
      <c r="L28" s="113" t="s">
        <v>222</v>
      </c>
    </row>
    <row r="30" spans="1:20" ht="19" x14ac:dyDescent="0.25">
      <c r="A30" s="3"/>
    </row>
    <row r="38" spans="12:12" x14ac:dyDescent="0.2">
      <c r="L38" s="5"/>
    </row>
    <row r="39" spans="12:12" x14ac:dyDescent="0.2">
      <c r="L39" s="5"/>
    </row>
    <row r="40" spans="12:12" x14ac:dyDescent="0.2">
      <c r="L40" s="5"/>
    </row>
    <row r="41" spans="12:12" x14ac:dyDescent="0.2">
      <c r="L41" s="5"/>
    </row>
    <row r="42" spans="12:12" x14ac:dyDescent="0.2">
      <c r="L42" s="5"/>
    </row>
    <row r="43" spans="12:12" x14ac:dyDescent="0.2">
      <c r="L43" s="5"/>
    </row>
    <row r="44" spans="12:12" x14ac:dyDescent="0.2">
      <c r="L44" s="5"/>
    </row>
    <row r="52" spans="12:14" x14ac:dyDescent="0.2">
      <c r="M52" s="38"/>
    </row>
    <row r="53" spans="12:14" x14ac:dyDescent="0.2">
      <c r="L53" s="5"/>
      <c r="M53" s="5"/>
      <c r="N53" s="5"/>
    </row>
    <row r="54" spans="12:14" x14ac:dyDescent="0.2">
      <c r="L54" s="5"/>
      <c r="M54" s="5"/>
      <c r="N54" s="5"/>
    </row>
    <row r="55" spans="12:14" x14ac:dyDescent="0.2">
      <c r="L55" s="5"/>
      <c r="M55" s="5"/>
      <c r="N55" s="5"/>
    </row>
    <row r="56" spans="12:14" x14ac:dyDescent="0.2">
      <c r="L56" s="5"/>
      <c r="M56" s="5"/>
      <c r="N56" s="5"/>
    </row>
    <row r="57" spans="12:14" x14ac:dyDescent="0.2">
      <c r="M57" s="38"/>
    </row>
    <row r="58" spans="12:14" x14ac:dyDescent="0.2">
      <c r="L58" s="5"/>
      <c r="M58" s="5"/>
      <c r="N58" s="5"/>
    </row>
    <row r="59" spans="12:14" x14ac:dyDescent="0.2">
      <c r="L59" s="5"/>
      <c r="M59" s="5"/>
      <c r="N59" s="5"/>
    </row>
    <row r="60" spans="12:14" x14ac:dyDescent="0.2">
      <c r="L60" s="5"/>
      <c r="M60" s="5"/>
      <c r="N60" s="5"/>
    </row>
    <row r="61" spans="12:14" x14ac:dyDescent="0.2">
      <c r="L61" s="5"/>
      <c r="M61" s="5"/>
      <c r="N61" s="5"/>
    </row>
    <row r="62" spans="12:14" x14ac:dyDescent="0.2">
      <c r="L62" s="5"/>
      <c r="M62" s="5"/>
      <c r="N62" s="5"/>
    </row>
    <row r="63" spans="12:14" x14ac:dyDescent="0.2">
      <c r="L63" s="5"/>
      <c r="M63" s="5"/>
      <c r="N63" s="5"/>
    </row>
    <row r="64" spans="12:14" x14ac:dyDescent="0.2">
      <c r="L64" s="5"/>
      <c r="M64" s="5"/>
      <c r="N64" s="5"/>
    </row>
    <row r="65" spans="12:14" x14ac:dyDescent="0.2">
      <c r="L65" s="5"/>
      <c r="M65" s="5"/>
      <c r="N65" s="5"/>
    </row>
    <row r="66" spans="12:14" x14ac:dyDescent="0.2">
      <c r="L66" s="5"/>
      <c r="M66" s="5"/>
      <c r="N66" s="5"/>
    </row>
    <row r="67" spans="12:14" x14ac:dyDescent="0.2">
      <c r="M67" s="38"/>
    </row>
    <row r="68" spans="12:14" x14ac:dyDescent="0.2">
      <c r="L68" s="5"/>
      <c r="M68" s="5"/>
      <c r="N68" s="5"/>
    </row>
    <row r="69" spans="12:14" x14ac:dyDescent="0.2">
      <c r="L69" s="5"/>
      <c r="M69" s="5"/>
      <c r="N69" s="5"/>
    </row>
    <row r="70" spans="12:14" x14ac:dyDescent="0.2">
      <c r="L70" s="5"/>
      <c r="M70" s="5"/>
      <c r="N70" s="5"/>
    </row>
    <row r="71" spans="12:14" x14ac:dyDescent="0.2">
      <c r="L71" s="5"/>
      <c r="M71" s="5"/>
      <c r="N71" s="5"/>
    </row>
    <row r="72" spans="12:14" x14ac:dyDescent="0.2">
      <c r="L72" s="5"/>
      <c r="M72" s="5"/>
      <c r="N72" s="5"/>
    </row>
    <row r="73" spans="12:14" x14ac:dyDescent="0.2">
      <c r="L73" s="5"/>
      <c r="M73" s="5"/>
      <c r="N73" s="5"/>
    </row>
    <row r="74" spans="12:14" x14ac:dyDescent="0.2">
      <c r="L74" s="5"/>
      <c r="M74" s="5"/>
      <c r="N74" s="5"/>
    </row>
    <row r="75" spans="12:14" x14ac:dyDescent="0.2">
      <c r="L75" s="5"/>
      <c r="M75" s="5"/>
      <c r="N75" s="5"/>
    </row>
    <row r="76" spans="12:14" x14ac:dyDescent="0.2">
      <c r="L76" s="5"/>
      <c r="M76" s="5"/>
      <c r="N76" s="5"/>
    </row>
    <row r="77" spans="12:14" x14ac:dyDescent="0.2">
      <c r="M77" s="38"/>
    </row>
    <row r="78" spans="12:14" x14ac:dyDescent="0.2">
      <c r="L78" s="5"/>
      <c r="M78" s="5"/>
      <c r="N78" s="5"/>
    </row>
    <row r="79" spans="12:14" x14ac:dyDescent="0.2">
      <c r="L79" s="5"/>
      <c r="M79" s="5"/>
      <c r="N79" s="5"/>
    </row>
    <row r="80" spans="12:14" x14ac:dyDescent="0.2">
      <c r="L80" s="5"/>
      <c r="M80" s="5"/>
      <c r="N80" s="5"/>
    </row>
    <row r="81" spans="1:65" x14ac:dyDescent="0.2">
      <c r="L81" s="5"/>
      <c r="M81" s="5"/>
      <c r="N81" s="5"/>
    </row>
    <row r="82" spans="1:65" x14ac:dyDescent="0.2">
      <c r="L82" s="5"/>
      <c r="M82" s="5"/>
      <c r="N82" s="5"/>
    </row>
    <row r="83" spans="1:65" x14ac:dyDescent="0.2">
      <c r="A83" s="5"/>
      <c r="B83" s="5"/>
      <c r="C83" s="5"/>
      <c r="D83" s="5"/>
      <c r="E83" s="5"/>
      <c r="F83" s="5"/>
      <c r="G83" s="5"/>
      <c r="H83" s="5"/>
      <c r="I83" s="5"/>
      <c r="J83" s="5"/>
      <c r="L83" s="5"/>
      <c r="M83" s="5"/>
      <c r="N83" s="5"/>
    </row>
    <row r="84" spans="1:65" x14ac:dyDescent="0.2">
      <c r="A84" s="5"/>
      <c r="B84" s="5"/>
      <c r="C84" s="5"/>
      <c r="D84" s="5"/>
      <c r="E84" s="5"/>
      <c r="F84" s="5"/>
      <c r="G84" s="5"/>
      <c r="H84" s="5"/>
      <c r="I84" s="5"/>
      <c r="J84" s="5"/>
      <c r="L84" s="5"/>
      <c r="M84" s="5"/>
      <c r="N84" s="5"/>
    </row>
    <row r="85" spans="1:65" x14ac:dyDescent="0.2">
      <c r="A85" s="5"/>
      <c r="B85" s="5"/>
      <c r="C85" s="5"/>
      <c r="D85" s="5"/>
      <c r="E85" s="5"/>
      <c r="F85" s="5"/>
      <c r="G85" s="5"/>
      <c r="H85" s="5"/>
      <c r="I85" s="5"/>
      <c r="J85" s="5"/>
      <c r="L85" s="5"/>
      <c r="M85" s="5"/>
      <c r="N85" s="5"/>
    </row>
    <row r="86" spans="1:65" x14ac:dyDescent="0.2">
      <c r="A86" s="5"/>
      <c r="B86" s="5"/>
      <c r="C86" s="5"/>
      <c r="D86" s="5"/>
      <c r="E86" s="5"/>
      <c r="F86" s="5"/>
      <c r="G86" s="5"/>
      <c r="H86" s="5"/>
      <c r="I86" s="5"/>
      <c r="J86" s="5"/>
      <c r="L86" s="5"/>
      <c r="M86" s="5"/>
      <c r="N86" s="5"/>
    </row>
    <row r="87" spans="1:65" x14ac:dyDescent="0.2">
      <c r="A87" s="5"/>
      <c r="B87" s="5"/>
      <c r="C87" s="5"/>
      <c r="D87" s="5"/>
      <c r="E87" s="5"/>
      <c r="F87" s="5"/>
      <c r="G87" s="5"/>
      <c r="H87" s="5"/>
      <c r="I87" s="5"/>
      <c r="J87" s="5"/>
      <c r="M87" s="38"/>
    </row>
    <row r="88" spans="1:65"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row>
    <row r="89" spans="1:65"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row>
    <row r="90" spans="1:65"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row>
    <row r="91" spans="1:65"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row>
    <row r="92" spans="1:65"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row>
    <row r="93" spans="1:65"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row>
    <row r="94" spans="1:65"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row>
    <row r="95" spans="1:65"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row>
    <row r="96" spans="1:65"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row>
    <row r="97" spans="1:65"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row>
    <row r="98" spans="1:65"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row>
    <row r="99" spans="1:65"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row>
    <row r="100" spans="1:65"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row>
    <row r="101" spans="1:65"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row>
    <row r="102" spans="1:65"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row>
    <row r="103" spans="1:65"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row>
    <row r="104" spans="1:65"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row>
    <row r="105" spans="1:65"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row>
    <row r="106" spans="1:65"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row>
    <row r="107" spans="1:65"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row>
    <row r="108" spans="1:65"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row>
    <row r="109" spans="1:65"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row>
    <row r="110" spans="1:65"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row>
    <row r="111" spans="1:65"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row>
    <row r="112" spans="1:65"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row>
    <row r="113" spans="1:65"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row>
    <row r="114" spans="1:65"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row>
    <row r="115" spans="1:65"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row>
    <row r="116" spans="1:65"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row>
    <row r="117" spans="1:65"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row>
    <row r="118" spans="1:65"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row>
    <row r="119" spans="1:65"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row>
    <row r="120" spans="1:65"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row>
    <row r="121" spans="1:65"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row>
    <row r="122" spans="1:65"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row>
    <row r="123" spans="1:65"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row>
    <row r="124" spans="1:65"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row>
    <row r="125" spans="1:65"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row>
    <row r="126" spans="1:65"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row>
    <row r="127" spans="1:65"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row>
    <row r="128" spans="1:65"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row>
    <row r="129" spans="1:65"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row>
    <row r="130" spans="1:65"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row>
    <row r="131" spans="1:65"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row>
    <row r="132" spans="1:65"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row>
    <row r="133" spans="1:65"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row>
    <row r="134" spans="1:65"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row>
    <row r="135" spans="1:65"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row>
    <row r="136" spans="1:65"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row>
    <row r="137" spans="1:65"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row>
    <row r="138" spans="1:65"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row>
    <row r="139" spans="1:65"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row>
    <row r="140" spans="1:65"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row>
    <row r="141" spans="1:65"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row>
    <row r="142" spans="1:65"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row>
    <row r="143" spans="1:65"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row>
    <row r="144" spans="1:65"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row>
    <row r="145" spans="1:65"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row>
    <row r="146" spans="1:65"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row>
    <row r="147" spans="1:65"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row>
    <row r="148" spans="1:65"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row>
    <row r="149" spans="1:65"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row>
    <row r="150" spans="1:6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row>
    <row r="151" spans="1:6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row>
    <row r="152" spans="1:6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row>
    <row r="153" spans="1:6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row>
    <row r="154" spans="1:6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row>
    <row r="155" spans="1:6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row>
    <row r="156" spans="1:6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row>
    <row r="157" spans="1:6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row>
    <row r="158" spans="1:6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row>
    <row r="159" spans="1:6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row>
    <row r="160" spans="1:6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row>
    <row r="161" spans="1:6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row>
    <row r="162" spans="1:6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row>
    <row r="163" spans="1:6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row>
    <row r="164" spans="1:6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row>
    <row r="165" spans="1:6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row>
    <row r="166" spans="1:6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row>
    <row r="167" spans="1:6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row>
    <row r="168" spans="1:6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row>
    <row r="169" spans="1:6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row>
    <row r="170" spans="1:6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row>
    <row r="171" spans="1:6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row>
    <row r="172" spans="1:6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row>
    <row r="173" spans="1:6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row>
    <row r="174" spans="1:6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row>
    <row r="175" spans="1:6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row>
    <row r="176" spans="1:6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row>
    <row r="177" spans="1:6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row>
    <row r="178" spans="1:6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row>
    <row r="179" spans="1:6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row>
    <row r="180" spans="1:65"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row>
    <row r="181" spans="1:65"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row>
    <row r="182" spans="1:65"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row>
    <row r="183" spans="1:65"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row>
    <row r="184" spans="1:65"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row>
    <row r="185" spans="1:65" x14ac:dyDescent="0.2">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row>
    <row r="186" spans="1:65" x14ac:dyDescent="0.2">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row>
    <row r="187" spans="1:65" x14ac:dyDescent="0.2">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row>
    <row r="188" spans="1:65" x14ac:dyDescent="0.2">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row>
    <row r="189" spans="1:65" x14ac:dyDescent="0.2">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row>
  </sheetData>
  <mergeCells count="12">
    <mergeCell ref="A28:J28"/>
    <mergeCell ref="L12:S15"/>
    <mergeCell ref="L18:S19"/>
    <mergeCell ref="L22:S24"/>
    <mergeCell ref="D8:F8"/>
    <mergeCell ref="G8:I8"/>
    <mergeCell ref="B9:B10"/>
    <mergeCell ref="C9:C10"/>
    <mergeCell ref="D9:D10"/>
    <mergeCell ref="F9:F10"/>
    <mergeCell ref="G9:G10"/>
    <mergeCell ref="I9:I1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18FF6-698A-2344-8338-5463418E2027}">
  <dimension ref="A1:BM204"/>
  <sheetViews>
    <sheetView zoomScaleNormal="100" workbookViewId="0"/>
  </sheetViews>
  <sheetFormatPr baseColWidth="10" defaultColWidth="10.83203125" defaultRowHeight="16" outlineLevelCol="1" x14ac:dyDescent="0.2"/>
  <cols>
    <col min="1" max="1" width="4.6640625" style="36" customWidth="1"/>
    <col min="2" max="5" width="10.83203125" style="36"/>
    <col min="6" max="6" width="12.5" style="36" customWidth="1"/>
    <col min="7" max="7" width="10.83203125" style="36"/>
    <col min="8" max="8" width="13.33203125" style="36" customWidth="1"/>
    <col min="9" max="10" width="10.83203125" style="36"/>
    <col min="11" max="11" width="11.5" style="36" bestFit="1" customWidth="1"/>
    <col min="12" max="20" width="10.83203125" style="36" hidden="1" customWidth="1" outlineLevel="1"/>
    <col min="21" max="21" width="10.83203125" style="36" collapsed="1"/>
    <col min="22" max="16384" width="10.83203125" style="36"/>
  </cols>
  <sheetData>
    <row r="1" spans="1:18" ht="19" x14ac:dyDescent="0.25">
      <c r="A1" s="1" t="s">
        <v>203</v>
      </c>
      <c r="B1" s="19"/>
      <c r="C1" s="33"/>
      <c r="D1" s="33"/>
      <c r="E1" s="33"/>
      <c r="F1" s="34"/>
      <c r="G1" s="34"/>
      <c r="H1" s="34"/>
      <c r="I1" s="34"/>
      <c r="J1" s="35"/>
      <c r="K1" s="3" t="s">
        <v>177</v>
      </c>
    </row>
    <row r="2" spans="1:18" x14ac:dyDescent="0.2">
      <c r="A2" s="2"/>
      <c r="B2" s="34"/>
      <c r="C2" s="34"/>
      <c r="D2" s="34"/>
      <c r="E2" s="34"/>
      <c r="F2" s="34"/>
      <c r="G2" s="34"/>
      <c r="H2" s="34"/>
      <c r="I2" s="34"/>
      <c r="J2" s="35"/>
      <c r="L2" s="7" t="s">
        <v>3</v>
      </c>
      <c r="N2" s="38"/>
    </row>
    <row r="3" spans="1:18" x14ac:dyDescent="0.2">
      <c r="A3" s="2"/>
      <c r="B3" s="34" t="s">
        <v>83</v>
      </c>
      <c r="C3" s="34"/>
      <c r="D3" s="34"/>
      <c r="E3" s="34"/>
      <c r="F3" s="34"/>
      <c r="G3" s="34"/>
      <c r="H3" s="34"/>
      <c r="I3" s="34"/>
      <c r="J3" s="35"/>
      <c r="L3" s="7"/>
      <c r="M3" s="36" t="s">
        <v>168</v>
      </c>
      <c r="N3" s="38"/>
    </row>
    <row r="4" spans="1:18" x14ac:dyDescent="0.2">
      <c r="A4" s="2"/>
      <c r="B4" s="34"/>
      <c r="C4" s="34"/>
      <c r="D4" s="34"/>
      <c r="E4" s="34"/>
      <c r="F4" s="34"/>
      <c r="G4" s="34"/>
      <c r="H4" s="34"/>
      <c r="I4" s="34"/>
      <c r="J4" s="35"/>
      <c r="L4" s="7"/>
      <c r="M4" s="7"/>
      <c r="N4" s="38"/>
    </row>
    <row r="5" spans="1:18" x14ac:dyDescent="0.2">
      <c r="A5" s="2"/>
      <c r="B5" s="34"/>
      <c r="C5" s="151" t="s">
        <v>208</v>
      </c>
      <c r="D5" s="151"/>
      <c r="E5" s="151"/>
      <c r="F5" s="151"/>
      <c r="G5" s="34"/>
      <c r="H5" s="172" t="s">
        <v>40</v>
      </c>
      <c r="I5" s="34"/>
      <c r="J5" s="35"/>
      <c r="R5" s="5"/>
    </row>
    <row r="6" spans="1:18" ht="34" x14ac:dyDescent="0.2">
      <c r="A6" s="2"/>
      <c r="B6" s="34"/>
      <c r="C6" s="11" t="s">
        <v>7</v>
      </c>
      <c r="D6" s="12" t="s">
        <v>8</v>
      </c>
      <c r="E6" s="12" t="s">
        <v>9</v>
      </c>
      <c r="F6" s="12" t="s">
        <v>10</v>
      </c>
      <c r="G6" s="34"/>
      <c r="H6" s="173"/>
      <c r="I6" s="34"/>
      <c r="J6" s="35"/>
      <c r="M6" s="39" t="s">
        <v>17</v>
      </c>
      <c r="N6" s="40" t="s">
        <v>19</v>
      </c>
      <c r="O6" s="40" t="s">
        <v>20</v>
      </c>
      <c r="R6" s="5"/>
    </row>
    <row r="7" spans="1:18" x14ac:dyDescent="0.2">
      <c r="A7" s="2"/>
      <c r="B7" s="34"/>
      <c r="C7" s="10">
        <v>2014</v>
      </c>
      <c r="D7" s="18">
        <v>38</v>
      </c>
      <c r="E7" s="18">
        <v>53.4</v>
      </c>
      <c r="F7" s="18">
        <v>56.7</v>
      </c>
      <c r="G7" s="72"/>
      <c r="H7" s="73">
        <v>81</v>
      </c>
      <c r="I7" s="34"/>
      <c r="J7" s="35"/>
      <c r="M7" s="42">
        <v>2014</v>
      </c>
      <c r="N7" s="43">
        <v>30</v>
      </c>
      <c r="O7" s="44">
        <f>1-EXP(-((N7/$D$14)^$D$15))</f>
        <v>0.98583101152228103</v>
      </c>
      <c r="R7" s="5"/>
    </row>
    <row r="8" spans="1:18" x14ac:dyDescent="0.2">
      <c r="A8" s="2"/>
      <c r="B8" s="34"/>
      <c r="C8" s="10">
        <v>2015</v>
      </c>
      <c r="D8" s="18">
        <v>42</v>
      </c>
      <c r="E8" s="18">
        <v>59.2</v>
      </c>
      <c r="F8" s="18"/>
      <c r="G8" s="72"/>
      <c r="H8" s="73">
        <v>83</v>
      </c>
      <c r="I8" s="34"/>
      <c r="J8" s="35"/>
      <c r="L8" s="7"/>
      <c r="M8" s="74">
        <v>2015</v>
      </c>
      <c r="N8" s="75">
        <v>18</v>
      </c>
      <c r="O8" s="76">
        <f t="shared" ref="O8:O9" si="0">1-EXP(-((N8/$D$14)^$D$15))</f>
        <v>0.93197468607814915</v>
      </c>
    </row>
    <row r="9" spans="1:18" x14ac:dyDescent="0.2">
      <c r="A9" s="2"/>
      <c r="B9" s="34"/>
      <c r="C9" s="10">
        <v>2016</v>
      </c>
      <c r="D9" s="18">
        <v>39.200000000000003</v>
      </c>
      <c r="E9" s="18"/>
      <c r="F9" s="18"/>
      <c r="G9" s="72"/>
      <c r="H9" s="73">
        <v>84.5</v>
      </c>
      <c r="I9" s="34"/>
      <c r="J9" s="35"/>
      <c r="M9" s="77">
        <v>2016</v>
      </c>
      <c r="N9" s="78">
        <v>6</v>
      </c>
      <c r="O9" s="79">
        <f t="shared" si="0"/>
        <v>0.63212055882855767</v>
      </c>
    </row>
    <row r="10" spans="1:18" x14ac:dyDescent="0.2">
      <c r="A10" s="2"/>
      <c r="B10" s="34"/>
      <c r="C10" s="34"/>
      <c r="D10" s="34"/>
      <c r="E10" s="34"/>
      <c r="F10" s="34"/>
      <c r="G10" s="34"/>
      <c r="H10" s="34"/>
      <c r="I10" s="34"/>
      <c r="J10" s="35"/>
      <c r="M10" s="57"/>
    </row>
    <row r="11" spans="1:18" x14ac:dyDescent="0.2">
      <c r="A11" s="2"/>
      <c r="B11" s="34" t="s">
        <v>162</v>
      </c>
      <c r="C11" s="34"/>
      <c r="D11" s="34"/>
      <c r="E11" s="34"/>
      <c r="F11" s="34"/>
      <c r="G11" s="34"/>
      <c r="H11" s="34"/>
      <c r="I11" s="34"/>
      <c r="J11" s="35"/>
    </row>
    <row r="12" spans="1:18" x14ac:dyDescent="0.2">
      <c r="A12" s="2"/>
      <c r="B12" s="34" t="s">
        <v>163</v>
      </c>
      <c r="C12" s="34"/>
      <c r="D12" s="34"/>
      <c r="E12" s="34"/>
      <c r="F12" s="34"/>
      <c r="G12" s="34"/>
      <c r="H12" s="34"/>
      <c r="I12" s="34"/>
      <c r="J12" s="35"/>
      <c r="M12" s="43" t="s">
        <v>47</v>
      </c>
      <c r="N12" s="44">
        <v>0.73599999999999999</v>
      </c>
    </row>
    <row r="13" spans="1:18" x14ac:dyDescent="0.2">
      <c r="A13" s="2"/>
      <c r="B13" s="34"/>
      <c r="C13" s="34"/>
      <c r="D13" s="34"/>
      <c r="E13" s="34"/>
      <c r="F13" s="34"/>
      <c r="G13" s="34"/>
      <c r="H13" s="34"/>
      <c r="I13" s="34"/>
      <c r="J13" s="35"/>
    </row>
    <row r="14" spans="1:18" x14ac:dyDescent="0.2">
      <c r="A14" s="2"/>
      <c r="B14" s="34"/>
      <c r="C14" s="61" t="s">
        <v>13</v>
      </c>
      <c r="D14" s="62">
        <v>6</v>
      </c>
      <c r="E14" s="34"/>
      <c r="F14" s="34"/>
      <c r="G14" s="34"/>
      <c r="H14" s="34"/>
      <c r="I14" s="34"/>
      <c r="J14" s="35"/>
      <c r="M14" s="36" t="s">
        <v>24</v>
      </c>
    </row>
    <row r="15" spans="1:18" x14ac:dyDescent="0.2">
      <c r="A15" s="2"/>
      <c r="B15" s="34"/>
      <c r="C15" s="61" t="s">
        <v>14</v>
      </c>
      <c r="D15" s="62">
        <v>0.9</v>
      </c>
      <c r="E15" s="34"/>
      <c r="F15" s="34"/>
      <c r="G15" s="34"/>
      <c r="H15" s="34"/>
      <c r="I15" s="34"/>
      <c r="J15" s="35"/>
      <c r="M15" s="9"/>
    </row>
    <row r="16" spans="1:18" x14ac:dyDescent="0.2">
      <c r="A16" s="2"/>
      <c r="B16" s="34"/>
      <c r="C16" s="34"/>
      <c r="D16" s="34"/>
      <c r="E16" s="34"/>
      <c r="F16" s="34"/>
      <c r="G16" s="34"/>
      <c r="H16" s="34"/>
      <c r="I16" s="34"/>
      <c r="J16" s="35"/>
      <c r="M16" s="58" t="s">
        <v>17</v>
      </c>
      <c r="N16" s="40">
        <v>12</v>
      </c>
      <c r="O16" s="40">
        <v>24</v>
      </c>
      <c r="P16" s="40">
        <v>36</v>
      </c>
      <c r="Q16" s="43" t="s">
        <v>51</v>
      </c>
    </row>
    <row r="17" spans="1:17" x14ac:dyDescent="0.2">
      <c r="A17" s="2"/>
      <c r="B17" s="34" t="s">
        <v>164</v>
      </c>
      <c r="C17" s="34"/>
      <c r="D17" s="34"/>
      <c r="E17" s="34"/>
      <c r="F17" s="34"/>
      <c r="G17" s="34"/>
      <c r="H17" s="34"/>
      <c r="I17" s="34"/>
      <c r="J17" s="35"/>
      <c r="M17" s="42">
        <v>2014</v>
      </c>
      <c r="N17" s="48">
        <f>$Q17*N$21</f>
        <v>37684.499235123294</v>
      </c>
      <c r="O17" s="48">
        <f>$Q17*O$21</f>
        <v>17876.103650111647</v>
      </c>
      <c r="P17" s="48">
        <f>$Q17*P$21</f>
        <v>3210.698697677366</v>
      </c>
      <c r="Q17" s="64">
        <f>$N$12*H7*1000</f>
        <v>59616</v>
      </c>
    </row>
    <row r="18" spans="1:17" x14ac:dyDescent="0.2">
      <c r="A18" s="2"/>
      <c r="B18" s="34"/>
      <c r="C18" s="34"/>
      <c r="D18" s="34"/>
      <c r="E18" s="34"/>
      <c r="F18" s="34"/>
      <c r="G18" s="34"/>
      <c r="H18" s="34"/>
      <c r="I18" s="34"/>
      <c r="J18" s="35"/>
      <c r="M18" s="42">
        <v>2015</v>
      </c>
      <c r="N18" s="48">
        <f>$Q18*N$21</f>
        <v>38614.980697718929</v>
      </c>
      <c r="O18" s="48">
        <f>$Q18*O$21</f>
        <v>18317.488925423044</v>
      </c>
      <c r="P18" s="48"/>
      <c r="Q18" s="64">
        <f>$N$12*H8*1000</f>
        <v>61088</v>
      </c>
    </row>
    <row r="19" spans="1:17" x14ac:dyDescent="0.2">
      <c r="A19" s="2"/>
      <c r="B19" s="34"/>
      <c r="C19" s="34"/>
      <c r="D19" s="34"/>
      <c r="E19" s="34"/>
      <c r="F19" s="34"/>
      <c r="G19" s="34"/>
      <c r="H19" s="34"/>
      <c r="I19" s="34"/>
      <c r="J19" s="35"/>
      <c r="M19" s="42">
        <v>2016</v>
      </c>
      <c r="N19" s="48">
        <f>$Q19*N$21</f>
        <v>39312.841794665655</v>
      </c>
      <c r="O19" s="48"/>
      <c r="P19" s="48"/>
      <c r="Q19" s="64">
        <f>$N$12*H9*1000</f>
        <v>62192</v>
      </c>
    </row>
    <row r="20" spans="1:17" x14ac:dyDescent="0.2">
      <c r="A20" s="34" t="s">
        <v>0</v>
      </c>
      <c r="B20" s="34" t="s">
        <v>165</v>
      </c>
      <c r="C20" s="34"/>
      <c r="D20" s="34"/>
      <c r="E20" s="34"/>
      <c r="F20" s="34"/>
      <c r="G20" s="34"/>
      <c r="H20" s="34"/>
      <c r="I20" s="34"/>
      <c r="J20" s="35"/>
      <c r="L20" s="7"/>
    </row>
    <row r="21" spans="1:17" x14ac:dyDescent="0.2">
      <c r="A21" s="2"/>
      <c r="B21" s="34"/>
      <c r="C21" s="34"/>
      <c r="D21" s="34"/>
      <c r="E21" s="34"/>
      <c r="F21" s="34"/>
      <c r="G21" s="34"/>
      <c r="H21" s="34"/>
      <c r="I21" s="34"/>
      <c r="J21" s="35"/>
      <c r="M21" s="36" t="s">
        <v>31</v>
      </c>
      <c r="N21" s="44">
        <f>O9</f>
        <v>0.63212055882855767</v>
      </c>
      <c r="O21" s="44">
        <f>O8-O9</f>
        <v>0.29985412724959148</v>
      </c>
      <c r="P21" s="44">
        <f>O7-O8</f>
        <v>5.3856325444131881E-2</v>
      </c>
    </row>
    <row r="22" spans="1:17" x14ac:dyDescent="0.2">
      <c r="A22" s="34" t="s">
        <v>1</v>
      </c>
      <c r="B22" s="34" t="s">
        <v>166</v>
      </c>
      <c r="C22" s="34"/>
      <c r="D22" s="34"/>
      <c r="E22" s="34"/>
      <c r="F22" s="34"/>
      <c r="G22" s="34"/>
      <c r="H22" s="34"/>
      <c r="I22" s="34"/>
      <c r="J22" s="35"/>
      <c r="N22" s="38"/>
    </row>
    <row r="23" spans="1:17" x14ac:dyDescent="0.2">
      <c r="A23" s="2"/>
      <c r="B23" s="34"/>
      <c r="C23" s="34"/>
      <c r="D23" s="34"/>
      <c r="E23" s="34"/>
      <c r="F23" s="34"/>
      <c r="G23" s="34"/>
      <c r="H23" s="34"/>
      <c r="I23" s="34"/>
      <c r="J23" s="35"/>
    </row>
    <row r="24" spans="1:17" x14ac:dyDescent="0.2">
      <c r="A24" s="34" t="s">
        <v>2</v>
      </c>
      <c r="B24" s="34" t="s">
        <v>183</v>
      </c>
      <c r="C24" s="34"/>
      <c r="D24" s="34"/>
      <c r="E24" s="34"/>
      <c r="F24" s="34"/>
      <c r="G24" s="34"/>
      <c r="H24" s="34"/>
      <c r="I24" s="34"/>
      <c r="J24" s="35"/>
      <c r="L24" s="7" t="s">
        <v>169</v>
      </c>
    </row>
    <row r="25" spans="1:17" x14ac:dyDescent="0.2">
      <c r="A25" s="2"/>
      <c r="B25" s="34" t="s">
        <v>184</v>
      </c>
      <c r="C25" s="34"/>
      <c r="D25" s="34"/>
      <c r="E25" s="34"/>
      <c r="F25" s="34"/>
      <c r="G25" s="34"/>
      <c r="H25" s="34"/>
      <c r="I25" s="34"/>
      <c r="J25" s="35"/>
    </row>
    <row r="26" spans="1:17" x14ac:dyDescent="0.2">
      <c r="A26" s="2"/>
      <c r="B26" s="34"/>
      <c r="C26" s="34"/>
      <c r="D26" s="34"/>
      <c r="E26" s="34"/>
      <c r="F26" s="34"/>
      <c r="G26" s="34"/>
      <c r="H26" s="34"/>
      <c r="I26" s="34"/>
      <c r="J26" s="35"/>
      <c r="M26" s="36" t="s">
        <v>30</v>
      </c>
    </row>
    <row r="27" spans="1:17" x14ac:dyDescent="0.2">
      <c r="A27" s="34" t="s">
        <v>138</v>
      </c>
      <c r="B27" s="34" t="s">
        <v>167</v>
      </c>
      <c r="C27" s="34"/>
      <c r="D27" s="34"/>
      <c r="E27" s="34"/>
      <c r="F27" s="34"/>
      <c r="G27" s="34"/>
      <c r="H27" s="34"/>
      <c r="I27" s="34"/>
      <c r="J27" s="35"/>
      <c r="M27" s="9"/>
    </row>
    <row r="28" spans="1:17" x14ac:dyDescent="0.2">
      <c r="A28" s="2"/>
      <c r="B28" s="34"/>
      <c r="C28" s="34"/>
      <c r="D28" s="34"/>
      <c r="E28" s="34"/>
      <c r="F28" s="34"/>
      <c r="G28" s="34"/>
      <c r="H28" s="34"/>
      <c r="I28" s="34"/>
      <c r="J28" s="35"/>
      <c r="M28" s="58" t="s">
        <v>17</v>
      </c>
      <c r="N28" s="40">
        <v>12</v>
      </c>
      <c r="O28" s="40">
        <v>24</v>
      </c>
      <c r="P28" s="40">
        <v>36</v>
      </c>
    </row>
    <row r="29" spans="1:17" ht="17" thickBot="1" x14ac:dyDescent="0.25">
      <c r="A29" s="2"/>
      <c r="B29" s="34"/>
      <c r="C29" s="34"/>
      <c r="D29" s="34"/>
      <c r="E29" s="34"/>
      <c r="F29" s="34"/>
      <c r="G29" s="34"/>
      <c r="H29" s="34"/>
      <c r="I29" s="34"/>
      <c r="J29" s="35"/>
      <c r="M29" s="42">
        <v>2014</v>
      </c>
      <c r="N29" s="48">
        <f>D7*1000</f>
        <v>38000</v>
      </c>
      <c r="O29" s="48">
        <f>E7*1000-N29</f>
        <v>15400</v>
      </c>
      <c r="P29" s="48">
        <f>F7*1000-O29-N29</f>
        <v>3300</v>
      </c>
    </row>
    <row r="30" spans="1:17" ht="17" thickBot="1" x14ac:dyDescent="0.25">
      <c r="A30" s="152" t="s">
        <v>176</v>
      </c>
      <c r="B30" s="153"/>
      <c r="C30" s="153"/>
      <c r="D30" s="153"/>
      <c r="E30" s="153"/>
      <c r="F30" s="153"/>
      <c r="G30" s="153"/>
      <c r="H30" s="153"/>
      <c r="I30" s="153"/>
      <c r="J30" s="154"/>
      <c r="M30" s="42">
        <v>2015</v>
      </c>
      <c r="N30" s="48">
        <f>D8*1000</f>
        <v>42000</v>
      </c>
      <c r="O30" s="48">
        <f>E8*1000-N30</f>
        <v>17200</v>
      </c>
      <c r="P30" s="48"/>
    </row>
    <row r="31" spans="1:17" x14ac:dyDescent="0.2">
      <c r="M31" s="42">
        <v>2016</v>
      </c>
      <c r="N31" s="48">
        <f>D9*1000</f>
        <v>39200</v>
      </c>
      <c r="O31" s="48"/>
      <c r="P31" s="48"/>
    </row>
    <row r="32" spans="1:17" ht="19" x14ac:dyDescent="0.25">
      <c r="A32" s="3"/>
    </row>
    <row r="33" spans="12:19" x14ac:dyDescent="0.2">
      <c r="M33" s="170" t="s">
        <v>17</v>
      </c>
      <c r="N33" s="168" t="s">
        <v>170</v>
      </c>
      <c r="O33" s="170" t="s">
        <v>171</v>
      </c>
      <c r="P33" s="168" t="s">
        <v>174</v>
      </c>
      <c r="Q33" s="168" t="s">
        <v>172</v>
      </c>
    </row>
    <row r="34" spans="12:19" x14ac:dyDescent="0.2">
      <c r="M34" s="171"/>
      <c r="N34" s="169"/>
      <c r="O34" s="171"/>
      <c r="P34" s="169"/>
      <c r="Q34" s="169"/>
      <c r="R34" s="80" t="s">
        <v>173</v>
      </c>
    </row>
    <row r="35" spans="12:19" x14ac:dyDescent="0.2">
      <c r="M35" s="42">
        <v>2014</v>
      </c>
      <c r="N35" s="36">
        <v>0</v>
      </c>
      <c r="O35" s="57">
        <f>N35+12</f>
        <v>12</v>
      </c>
      <c r="P35" s="46">
        <f>N29</f>
        <v>38000</v>
      </c>
      <c r="Q35" s="46">
        <f>N17</f>
        <v>37684.499235123294</v>
      </c>
      <c r="R35" s="46">
        <f>P35*LN(Q35)-Q35</f>
        <v>362721.6576294176</v>
      </c>
    </row>
    <row r="36" spans="12:19" x14ac:dyDescent="0.2">
      <c r="M36" s="42">
        <v>2014</v>
      </c>
      <c r="N36" s="36">
        <v>12</v>
      </c>
      <c r="O36" s="57">
        <f t="shared" ref="O36:O40" si="1">N36+12</f>
        <v>24</v>
      </c>
      <c r="P36" s="46">
        <f>O29</f>
        <v>15400</v>
      </c>
      <c r="Q36" s="46">
        <f>O17</f>
        <v>17876.103650111647</v>
      </c>
      <c r="R36" s="46">
        <f t="shared" ref="R36:R40" si="2">P36*LN(Q36)-Q36</f>
        <v>132908.68601801322</v>
      </c>
    </row>
    <row r="37" spans="12:19" x14ac:dyDescent="0.2">
      <c r="M37" s="42">
        <v>2014</v>
      </c>
      <c r="N37" s="36">
        <v>24</v>
      </c>
      <c r="O37" s="57">
        <f t="shared" si="1"/>
        <v>36</v>
      </c>
      <c r="P37" s="46">
        <f>P29</f>
        <v>3300</v>
      </c>
      <c r="Q37" s="46">
        <f>P17</f>
        <v>3210.698697677366</v>
      </c>
      <c r="R37" s="46">
        <f t="shared" si="2"/>
        <v>23434.306024703023</v>
      </c>
    </row>
    <row r="38" spans="12:19" x14ac:dyDescent="0.2">
      <c r="M38" s="42">
        <v>2015</v>
      </c>
      <c r="N38" s="36">
        <v>0</v>
      </c>
      <c r="O38" s="57">
        <f t="shared" si="1"/>
        <v>12</v>
      </c>
      <c r="P38" s="46">
        <f>N30</f>
        <v>42000</v>
      </c>
      <c r="Q38" s="46">
        <f>N18</f>
        <v>38614.980697718929</v>
      </c>
      <c r="R38" s="46">
        <f t="shared" si="2"/>
        <v>404963.63371009356</v>
      </c>
    </row>
    <row r="39" spans="12:19" x14ac:dyDescent="0.2">
      <c r="M39" s="42">
        <v>2015</v>
      </c>
      <c r="N39" s="36">
        <v>12</v>
      </c>
      <c r="O39" s="57">
        <f t="shared" si="1"/>
        <v>24</v>
      </c>
      <c r="P39" s="46">
        <f>O30</f>
        <v>17200</v>
      </c>
      <c r="Q39" s="46">
        <f>O18</f>
        <v>18317.488925423044</v>
      </c>
      <c r="R39" s="46">
        <f t="shared" si="2"/>
        <v>150511.02993141301</v>
      </c>
    </row>
    <row r="40" spans="12:19" x14ac:dyDescent="0.2">
      <c r="M40" s="42">
        <v>2016</v>
      </c>
      <c r="N40" s="36">
        <v>0</v>
      </c>
      <c r="O40" s="57">
        <f t="shared" si="1"/>
        <v>12</v>
      </c>
      <c r="P40" s="46">
        <f>N31</f>
        <v>39200</v>
      </c>
      <c r="Q40" s="46">
        <f>N19</f>
        <v>39312.841794665655</v>
      </c>
      <c r="R40" s="81">
        <f t="shared" si="2"/>
        <v>375395.9733073673</v>
      </c>
    </row>
    <row r="41" spans="12:19" x14ac:dyDescent="0.2">
      <c r="R41" s="82">
        <v>1449935</v>
      </c>
    </row>
    <row r="44" spans="12:19" x14ac:dyDescent="0.2">
      <c r="L44" s="7" t="s">
        <v>140</v>
      </c>
    </row>
    <row r="45" spans="12:19" x14ac:dyDescent="0.2">
      <c r="L45" s="156" t="s">
        <v>193</v>
      </c>
      <c r="M45" s="156"/>
      <c r="N45" s="156"/>
      <c r="O45" s="156"/>
      <c r="P45" s="156"/>
      <c r="Q45" s="156"/>
      <c r="R45" s="156"/>
      <c r="S45" s="156"/>
    </row>
    <row r="46" spans="12:19" x14ac:dyDescent="0.2">
      <c r="L46" s="156"/>
      <c r="M46" s="156"/>
      <c r="N46" s="156"/>
      <c r="O46" s="156"/>
      <c r="P46" s="156"/>
      <c r="Q46" s="156"/>
      <c r="R46" s="156"/>
      <c r="S46" s="156"/>
    </row>
    <row r="49" spans="12:14" ht="19" x14ac:dyDescent="0.25">
      <c r="L49" s="3" t="s">
        <v>220</v>
      </c>
    </row>
    <row r="50" spans="12:14" x14ac:dyDescent="0.2">
      <c r="L50" s="113" t="s">
        <v>226</v>
      </c>
    </row>
    <row r="53" spans="12:14" x14ac:dyDescent="0.2">
      <c r="M53" s="38"/>
    </row>
    <row r="55" spans="12:14" x14ac:dyDescent="0.2">
      <c r="M55" s="38"/>
    </row>
    <row r="56" spans="12:14" x14ac:dyDescent="0.2">
      <c r="L56" s="5"/>
      <c r="M56" s="5"/>
      <c r="N56" s="5"/>
    </row>
    <row r="57" spans="12:14" x14ac:dyDescent="0.2">
      <c r="L57" s="5"/>
      <c r="M57" s="5"/>
      <c r="N57" s="5"/>
    </row>
    <row r="58" spans="12:14" x14ac:dyDescent="0.2">
      <c r="L58" s="5"/>
      <c r="M58" s="5"/>
      <c r="N58" s="5"/>
    </row>
    <row r="59" spans="12:14" x14ac:dyDescent="0.2">
      <c r="L59" s="5"/>
      <c r="M59" s="5"/>
      <c r="N59" s="5"/>
    </row>
    <row r="60" spans="12:14" x14ac:dyDescent="0.2">
      <c r="L60" s="5"/>
      <c r="M60" s="5"/>
      <c r="N60" s="5"/>
    </row>
    <row r="61" spans="12:14" x14ac:dyDescent="0.2">
      <c r="L61" s="5"/>
      <c r="M61" s="5"/>
      <c r="N61" s="5"/>
    </row>
    <row r="62" spans="12:14" x14ac:dyDescent="0.2">
      <c r="L62" s="5"/>
      <c r="M62" s="5"/>
      <c r="N62" s="5"/>
    </row>
    <row r="63" spans="12:14" x14ac:dyDescent="0.2">
      <c r="L63" s="5"/>
      <c r="M63" s="5"/>
      <c r="N63" s="5"/>
    </row>
    <row r="64" spans="12:14" x14ac:dyDescent="0.2">
      <c r="L64" s="5"/>
      <c r="M64" s="5"/>
      <c r="N64" s="5"/>
    </row>
    <row r="65" spans="12:14" x14ac:dyDescent="0.2">
      <c r="L65" s="5"/>
      <c r="M65" s="5"/>
      <c r="N65" s="5"/>
    </row>
    <row r="66" spans="12:14" x14ac:dyDescent="0.2">
      <c r="L66" s="5"/>
      <c r="M66" s="5"/>
      <c r="N66" s="5"/>
    </row>
    <row r="67" spans="12:14" x14ac:dyDescent="0.2">
      <c r="L67" s="5"/>
      <c r="M67" s="5"/>
      <c r="N67" s="5"/>
    </row>
    <row r="68" spans="12:14" x14ac:dyDescent="0.2">
      <c r="L68" s="5"/>
      <c r="M68" s="5"/>
      <c r="N68" s="5"/>
    </row>
    <row r="69" spans="12:14" x14ac:dyDescent="0.2">
      <c r="L69" s="5"/>
      <c r="M69" s="5"/>
      <c r="N69" s="5"/>
    </row>
    <row r="70" spans="12:14" x14ac:dyDescent="0.2">
      <c r="L70" s="5"/>
      <c r="M70" s="5"/>
      <c r="N70" s="5"/>
    </row>
    <row r="71" spans="12:14" x14ac:dyDescent="0.2">
      <c r="L71" s="5"/>
      <c r="M71" s="5"/>
      <c r="N71" s="5"/>
    </row>
    <row r="72" spans="12:14" x14ac:dyDescent="0.2">
      <c r="M72" s="38"/>
    </row>
    <row r="73" spans="12:14" x14ac:dyDescent="0.2">
      <c r="L73" s="5"/>
      <c r="M73" s="5"/>
      <c r="N73" s="5"/>
    </row>
    <row r="74" spans="12:14" x14ac:dyDescent="0.2">
      <c r="L74" s="5"/>
      <c r="M74" s="5"/>
      <c r="N74" s="5"/>
    </row>
    <row r="75" spans="12:14" x14ac:dyDescent="0.2">
      <c r="L75" s="5"/>
      <c r="M75" s="5"/>
      <c r="N75" s="5"/>
    </row>
    <row r="76" spans="12:14" x14ac:dyDescent="0.2">
      <c r="L76" s="5"/>
      <c r="M76" s="5"/>
      <c r="N76" s="5"/>
    </row>
    <row r="77" spans="12:14" x14ac:dyDescent="0.2">
      <c r="L77" s="5"/>
      <c r="M77" s="5"/>
      <c r="N77" s="5"/>
    </row>
    <row r="78" spans="12:14" x14ac:dyDescent="0.2">
      <c r="L78" s="5"/>
      <c r="M78" s="5"/>
      <c r="N78" s="5"/>
    </row>
    <row r="79" spans="12:14" x14ac:dyDescent="0.2">
      <c r="L79" s="5"/>
      <c r="M79" s="5"/>
      <c r="N79" s="5"/>
    </row>
    <row r="80" spans="12:14" x14ac:dyDescent="0.2">
      <c r="L80" s="5"/>
      <c r="M80" s="5"/>
      <c r="N80" s="5"/>
    </row>
    <row r="81" spans="12:14" x14ac:dyDescent="0.2">
      <c r="L81" s="5"/>
      <c r="M81" s="5"/>
      <c r="N81" s="5"/>
    </row>
    <row r="82" spans="12:14" x14ac:dyDescent="0.2">
      <c r="M82" s="38"/>
    </row>
    <row r="83" spans="12:14" x14ac:dyDescent="0.2">
      <c r="L83" s="5"/>
      <c r="M83" s="5"/>
      <c r="N83" s="5"/>
    </row>
    <row r="84" spans="12:14" x14ac:dyDescent="0.2">
      <c r="L84" s="5"/>
      <c r="M84" s="5"/>
      <c r="N84" s="5"/>
    </row>
    <row r="85" spans="12:14" x14ac:dyDescent="0.2">
      <c r="L85" s="5"/>
      <c r="M85" s="5"/>
      <c r="N85" s="5"/>
    </row>
    <row r="86" spans="12:14" x14ac:dyDescent="0.2">
      <c r="L86" s="5"/>
      <c r="M86" s="5"/>
      <c r="N86" s="5"/>
    </row>
    <row r="87" spans="12:14" x14ac:dyDescent="0.2">
      <c r="L87" s="5"/>
      <c r="M87" s="5"/>
      <c r="N87" s="5"/>
    </row>
    <row r="88" spans="12:14" x14ac:dyDescent="0.2">
      <c r="L88" s="5"/>
      <c r="M88" s="5"/>
      <c r="N88" s="5"/>
    </row>
    <row r="89" spans="12:14" x14ac:dyDescent="0.2">
      <c r="L89" s="5"/>
      <c r="M89" s="5"/>
      <c r="N89" s="5"/>
    </row>
    <row r="90" spans="12:14" x14ac:dyDescent="0.2">
      <c r="L90" s="5"/>
      <c r="M90" s="5"/>
      <c r="N90" s="5"/>
    </row>
    <row r="91" spans="12:14" x14ac:dyDescent="0.2">
      <c r="L91" s="5"/>
      <c r="M91" s="5"/>
      <c r="N91" s="5"/>
    </row>
    <row r="92" spans="12:14" x14ac:dyDescent="0.2">
      <c r="M92" s="38"/>
    </row>
    <row r="93" spans="12:14" x14ac:dyDescent="0.2">
      <c r="L93" s="5"/>
      <c r="M93" s="5"/>
      <c r="N93" s="5"/>
    </row>
    <row r="94" spans="12:14" x14ac:dyDescent="0.2">
      <c r="L94" s="5"/>
      <c r="M94" s="5"/>
      <c r="N94" s="5"/>
    </row>
    <row r="95" spans="12:14" x14ac:dyDescent="0.2">
      <c r="L95" s="5"/>
      <c r="M95" s="5"/>
      <c r="N95" s="5"/>
    </row>
    <row r="96" spans="12:14" x14ac:dyDescent="0.2">
      <c r="L96" s="5"/>
      <c r="M96" s="5"/>
      <c r="N96" s="5"/>
    </row>
    <row r="97" spans="1:65" x14ac:dyDescent="0.2">
      <c r="L97" s="5"/>
      <c r="M97" s="5"/>
      <c r="N97" s="5"/>
    </row>
    <row r="98" spans="1:65" x14ac:dyDescent="0.2">
      <c r="L98" s="5"/>
      <c r="M98" s="5"/>
      <c r="N98" s="5"/>
    </row>
    <row r="99" spans="1:65" x14ac:dyDescent="0.2">
      <c r="L99" s="5"/>
      <c r="M99" s="5"/>
      <c r="N99" s="5"/>
    </row>
    <row r="100" spans="1:65" x14ac:dyDescent="0.2">
      <c r="L100" s="5"/>
      <c r="M100" s="5"/>
      <c r="N100" s="5"/>
    </row>
    <row r="101" spans="1:65" x14ac:dyDescent="0.2">
      <c r="L101" s="5"/>
      <c r="M101" s="5"/>
      <c r="N101" s="5"/>
    </row>
    <row r="102" spans="1:65" x14ac:dyDescent="0.2">
      <c r="A102" s="5"/>
      <c r="B102" s="5"/>
      <c r="C102" s="5"/>
      <c r="D102" s="5"/>
      <c r="E102" s="5"/>
      <c r="F102" s="5"/>
      <c r="G102" s="5"/>
      <c r="H102" s="5"/>
      <c r="I102" s="5"/>
      <c r="J102" s="5"/>
      <c r="M102" s="38"/>
    </row>
    <row r="103" spans="1:65"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row>
    <row r="104" spans="1:65"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row>
    <row r="105" spans="1:65"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row>
    <row r="106" spans="1:65"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row>
    <row r="107" spans="1:65"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row>
    <row r="108" spans="1:65"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row>
    <row r="109" spans="1:65"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row>
    <row r="110" spans="1:65"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row>
    <row r="111" spans="1:65"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row>
    <row r="112" spans="1:65"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row>
    <row r="113" spans="1:65"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row>
    <row r="114" spans="1:65"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row>
    <row r="115" spans="1:65"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row>
    <row r="116" spans="1:65"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row>
    <row r="117" spans="1:65"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row>
    <row r="118" spans="1:65"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row>
    <row r="119" spans="1:65"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row>
    <row r="120" spans="1:65"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row>
    <row r="121" spans="1:65"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row>
    <row r="122" spans="1:65"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row>
    <row r="123" spans="1:65"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row>
    <row r="124" spans="1:65"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row>
    <row r="125" spans="1:65"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row>
    <row r="126" spans="1:65"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row>
    <row r="127" spans="1:65"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row>
    <row r="128" spans="1:65"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row>
    <row r="129" spans="1:65"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row>
    <row r="130" spans="1:65"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row>
    <row r="131" spans="1:65"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row>
    <row r="132" spans="1:65"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row>
    <row r="133" spans="1:65"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row>
    <row r="134" spans="1:65"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row>
    <row r="135" spans="1:65"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row>
    <row r="136" spans="1:65"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row>
    <row r="137" spans="1:65"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row>
    <row r="138" spans="1:65"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row>
    <row r="139" spans="1:65"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row>
    <row r="140" spans="1:65"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row>
    <row r="141" spans="1:65"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row>
    <row r="142" spans="1:65"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row>
    <row r="143" spans="1:65"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row>
    <row r="144" spans="1:65"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row>
    <row r="145" spans="1:65"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row>
    <row r="146" spans="1:65"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row>
    <row r="147" spans="1:65"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row>
    <row r="148" spans="1:65"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row>
    <row r="149" spans="1:65"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row>
    <row r="150" spans="1:6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row>
    <row r="151" spans="1:6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row>
    <row r="152" spans="1:6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row>
    <row r="153" spans="1:6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row>
    <row r="154" spans="1:6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row>
    <row r="155" spans="1:6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row>
    <row r="156" spans="1:6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row>
    <row r="157" spans="1:6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row>
    <row r="158" spans="1:6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row>
    <row r="159" spans="1:6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row>
    <row r="160" spans="1:6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row>
    <row r="161" spans="1:6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row>
    <row r="162" spans="1:6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row>
    <row r="163" spans="1:6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row>
    <row r="164" spans="1:6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row>
    <row r="165" spans="1:6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row>
    <row r="166" spans="1:6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row>
    <row r="167" spans="1:6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row>
    <row r="168" spans="1:6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row>
    <row r="169" spans="1:6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row>
    <row r="170" spans="1:6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row>
    <row r="171" spans="1:6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row>
    <row r="172" spans="1:6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row>
    <row r="173" spans="1:6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row>
    <row r="174" spans="1:6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row>
    <row r="175" spans="1:6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row>
    <row r="176" spans="1:6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row>
    <row r="177" spans="1:6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row>
    <row r="178" spans="1:6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row>
    <row r="179" spans="1:6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row>
    <row r="180" spans="1:65"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row>
    <row r="181" spans="1:65"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row>
    <row r="182" spans="1:65"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row>
    <row r="183" spans="1:65"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row>
    <row r="184" spans="1:65"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row>
    <row r="185" spans="1:65"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row>
    <row r="186" spans="1:65"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row>
    <row r="187" spans="1:65"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row>
    <row r="188" spans="1:65"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row>
    <row r="189" spans="1:65"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row>
    <row r="190" spans="1:65"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row>
    <row r="191" spans="1:65"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row>
    <row r="192" spans="1:65"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row>
    <row r="193" spans="1:65"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row>
    <row r="194" spans="1:65"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row>
    <row r="195" spans="1:65"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row>
    <row r="196" spans="1:65"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row>
    <row r="197" spans="1:65"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row>
    <row r="198" spans="1:65"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row>
    <row r="199" spans="1:65"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row>
    <row r="200" spans="1:65"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row>
    <row r="201" spans="1:65"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row>
    <row r="202" spans="1:65"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row>
    <row r="203" spans="1:65"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row>
    <row r="204" spans="1:65" x14ac:dyDescent="0.2">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row>
  </sheetData>
  <mergeCells count="9">
    <mergeCell ref="Q33:Q34"/>
    <mergeCell ref="A30:J30"/>
    <mergeCell ref="L45:S46"/>
    <mergeCell ref="C5:F5"/>
    <mergeCell ref="M33:M34"/>
    <mergeCell ref="N33:N34"/>
    <mergeCell ref="O33:O34"/>
    <mergeCell ref="P33:P34"/>
    <mergeCell ref="H5:H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62562-976E-E245-9CA2-3A1176EB87E3}">
  <dimension ref="A1:U40"/>
  <sheetViews>
    <sheetView workbookViewId="0"/>
  </sheetViews>
  <sheetFormatPr baseColWidth="10" defaultColWidth="11" defaultRowHeight="16" outlineLevelCol="1" x14ac:dyDescent="0.2"/>
  <cols>
    <col min="1" max="1" width="4.5" customWidth="1"/>
    <col min="3" max="3" width="10.83203125" customWidth="1"/>
    <col min="4" max="4" width="14" customWidth="1"/>
    <col min="5" max="10" width="10.83203125" customWidth="1"/>
    <col min="12" max="12" width="11.1640625" bestFit="1" customWidth="1"/>
    <col min="13" max="13" width="15" hidden="1" customWidth="1" outlineLevel="1"/>
    <col min="14" max="20" width="10.83203125" hidden="1" customWidth="1" outlineLevel="1"/>
    <col min="21" max="21" width="11" collapsed="1"/>
  </cols>
  <sheetData>
    <row r="1" spans="1:19" ht="19" x14ac:dyDescent="0.25">
      <c r="A1" s="227" t="s">
        <v>275</v>
      </c>
      <c r="B1" s="226"/>
      <c r="C1" s="225"/>
      <c r="D1" s="225"/>
      <c r="E1" s="225"/>
      <c r="F1" s="224"/>
      <c r="G1" s="224"/>
      <c r="H1" s="224"/>
      <c r="I1" s="224"/>
      <c r="J1" s="223"/>
      <c r="L1" s="174" t="s">
        <v>177</v>
      </c>
    </row>
    <row r="2" spans="1:19" x14ac:dyDescent="0.2">
      <c r="A2" s="198"/>
      <c r="B2" s="195"/>
      <c r="C2" s="195"/>
      <c r="D2" s="195"/>
      <c r="E2" s="195"/>
      <c r="F2" s="195"/>
      <c r="G2" s="195"/>
      <c r="H2" s="195"/>
      <c r="I2" s="195"/>
      <c r="J2" s="194"/>
    </row>
    <row r="3" spans="1:19" x14ac:dyDescent="0.2">
      <c r="A3" s="198"/>
      <c r="B3" s="195" t="s">
        <v>274</v>
      </c>
      <c r="C3" s="214"/>
      <c r="D3" s="195"/>
      <c r="E3" s="195"/>
      <c r="F3" s="195"/>
      <c r="G3" s="195"/>
      <c r="H3" s="195"/>
      <c r="I3" s="195"/>
      <c r="J3" s="194"/>
      <c r="M3" s="188" t="s">
        <v>273</v>
      </c>
    </row>
    <row r="4" spans="1:19" x14ac:dyDescent="0.2">
      <c r="A4" s="198"/>
      <c r="B4" s="195"/>
      <c r="C4" s="214"/>
      <c r="D4" s="195"/>
      <c r="E4" s="195"/>
      <c r="F4" s="195"/>
      <c r="G4" s="195"/>
      <c r="H4" s="195"/>
      <c r="I4" s="195"/>
      <c r="J4" s="194"/>
      <c r="N4" s="179"/>
    </row>
    <row r="5" spans="1:19" x14ac:dyDescent="0.2">
      <c r="A5" s="198"/>
      <c r="B5" s="195"/>
      <c r="C5" s="222" t="s">
        <v>272</v>
      </c>
      <c r="D5" s="211" t="s">
        <v>271</v>
      </c>
      <c r="E5" s="210" t="s">
        <v>270</v>
      </c>
      <c r="F5" s="195"/>
      <c r="G5" s="195"/>
      <c r="H5" s="195"/>
      <c r="I5" s="195"/>
      <c r="J5" s="194"/>
      <c r="M5" t="s">
        <v>269</v>
      </c>
      <c r="N5" s="180"/>
    </row>
    <row r="6" spans="1:19" x14ac:dyDescent="0.2">
      <c r="A6" s="198"/>
      <c r="B6" s="195"/>
      <c r="C6" s="218" t="s">
        <v>268</v>
      </c>
      <c r="D6" s="209" t="s">
        <v>267</v>
      </c>
      <c r="E6" s="208" t="s">
        <v>43</v>
      </c>
      <c r="F6" s="195"/>
      <c r="G6" s="195"/>
      <c r="H6" s="195"/>
      <c r="I6" s="195"/>
      <c r="J6" s="194"/>
      <c r="N6" s="180"/>
    </row>
    <row r="7" spans="1:19" x14ac:dyDescent="0.2">
      <c r="A7" s="198"/>
      <c r="B7" s="195"/>
      <c r="C7" s="221">
        <v>2010</v>
      </c>
      <c r="D7" s="220">
        <v>7500</v>
      </c>
      <c r="E7" s="219">
        <v>15000</v>
      </c>
      <c r="F7" s="195"/>
      <c r="G7" s="195"/>
      <c r="H7" s="195"/>
      <c r="I7" s="195"/>
      <c r="J7" s="194"/>
      <c r="M7" s="185" t="s">
        <v>17</v>
      </c>
      <c r="N7" s="201" t="s">
        <v>251</v>
      </c>
      <c r="O7" s="186" t="s">
        <v>18</v>
      </c>
      <c r="P7" s="186" t="s">
        <v>250</v>
      </c>
      <c r="Q7" s="186" t="s">
        <v>249</v>
      </c>
      <c r="R7" s="186" t="s">
        <v>266</v>
      </c>
      <c r="S7" s="186" t="s">
        <v>247</v>
      </c>
    </row>
    <row r="8" spans="1:19" x14ac:dyDescent="0.2">
      <c r="A8" s="198"/>
      <c r="B8" s="195"/>
      <c r="C8" s="221">
        <v>2011</v>
      </c>
      <c r="D8" s="220">
        <v>6000</v>
      </c>
      <c r="E8" s="219">
        <v>15200</v>
      </c>
      <c r="F8" s="195"/>
      <c r="G8" s="195"/>
      <c r="H8" s="195"/>
      <c r="I8" s="195"/>
      <c r="J8" s="194"/>
      <c r="M8" s="185" t="s">
        <v>265</v>
      </c>
      <c r="N8" s="184"/>
      <c r="O8" s="183">
        <v>60</v>
      </c>
      <c r="P8" s="183">
        <f>O8-6</f>
        <v>54</v>
      </c>
      <c r="Q8" s="184">
        <f>P8^($D$16)/($D$17^$D$16+P8^$D$16)</f>
        <v>0.9394077795301512</v>
      </c>
      <c r="R8" s="183"/>
      <c r="S8" s="183"/>
    </row>
    <row r="9" spans="1:19" x14ac:dyDescent="0.2">
      <c r="A9" s="198"/>
      <c r="B9" s="195"/>
      <c r="C9" s="218">
        <v>2012</v>
      </c>
      <c r="D9" s="217">
        <v>4500</v>
      </c>
      <c r="E9" s="216">
        <v>15400</v>
      </c>
      <c r="F9" s="195"/>
      <c r="G9" s="195"/>
      <c r="H9" s="195"/>
      <c r="I9" s="195"/>
      <c r="J9" s="194"/>
      <c r="M9" s="182">
        <f>C7</f>
        <v>2010</v>
      </c>
      <c r="N9" s="181">
        <f>D7</f>
        <v>7500</v>
      </c>
      <c r="O9">
        <v>36</v>
      </c>
      <c r="P9">
        <f>O9-6</f>
        <v>30</v>
      </c>
      <c r="Q9" s="180">
        <f>P9^($D$16)/($D$17^$D$16+P9^$D$16)</f>
        <v>0.88449868863731362</v>
      </c>
      <c r="R9" s="180">
        <f>Q8/Q9</f>
        <v>1.0620793355583513</v>
      </c>
      <c r="S9" s="181">
        <f>N9*(R9-1)</f>
        <v>465.59501668763494</v>
      </c>
    </row>
    <row r="10" spans="1:19" x14ac:dyDescent="0.2">
      <c r="A10" s="198"/>
      <c r="B10" s="214"/>
      <c r="C10" s="215"/>
      <c r="D10" s="215"/>
      <c r="E10" s="215"/>
      <c r="F10" s="215"/>
      <c r="G10" s="195"/>
      <c r="H10" s="195"/>
      <c r="I10" s="195"/>
      <c r="J10" s="194"/>
      <c r="M10" s="182">
        <f>C8</f>
        <v>2011</v>
      </c>
      <c r="N10" s="181">
        <f>D8</f>
        <v>6000</v>
      </c>
      <c r="O10">
        <v>24</v>
      </c>
      <c r="P10">
        <f>O10-6</f>
        <v>18</v>
      </c>
      <c r="Q10" s="180">
        <f>P10^($D$16)/($D$17^$D$16+P10^$D$16)</f>
        <v>0.80576891708702725</v>
      </c>
      <c r="R10" s="180">
        <f>Q8/Q10</f>
        <v>1.1658525907480373</v>
      </c>
      <c r="S10" s="181">
        <f>N10*(R10-1)</f>
        <v>995.11554448822358</v>
      </c>
    </row>
    <row r="11" spans="1:19" x14ac:dyDescent="0.2">
      <c r="A11" s="198"/>
      <c r="B11" s="197" t="s">
        <v>264</v>
      </c>
      <c r="C11" s="214"/>
      <c r="D11" s="195"/>
      <c r="E11" s="195"/>
      <c r="F11" s="206"/>
      <c r="G11" s="195"/>
      <c r="H11" s="195"/>
      <c r="I11" s="195"/>
      <c r="J11" s="194"/>
      <c r="M11" s="182">
        <f>C9</f>
        <v>2012</v>
      </c>
      <c r="N11" s="181">
        <f>D9</f>
        <v>4500</v>
      </c>
      <c r="O11">
        <v>12</v>
      </c>
      <c r="P11">
        <f>O11-6</f>
        <v>6</v>
      </c>
      <c r="Q11" s="180">
        <f>P11^($D$16)/($D$17^$D$16+P11^$D$16)</f>
        <v>0.52607972351407717</v>
      </c>
      <c r="R11" s="180">
        <f>Q8/Q11</f>
        <v>1.7856757018786982</v>
      </c>
      <c r="S11" s="181">
        <f>N11*(R11-1)</f>
        <v>3535.540658454142</v>
      </c>
    </row>
    <row r="12" spans="1:19" ht="17" thickBot="1" x14ac:dyDescent="0.25">
      <c r="A12" s="198"/>
      <c r="B12" s="197" t="s">
        <v>263</v>
      </c>
      <c r="C12" s="195"/>
      <c r="D12" s="195"/>
      <c r="E12" s="195"/>
      <c r="F12" s="196"/>
      <c r="G12" s="195"/>
      <c r="H12" s="195"/>
      <c r="I12" s="195"/>
      <c r="J12" s="194"/>
    </row>
    <row r="13" spans="1:19" ht="17" thickBot="1" x14ac:dyDescent="0.25">
      <c r="A13" s="198"/>
      <c r="B13" s="197"/>
      <c r="C13" s="195"/>
      <c r="D13" s="195"/>
      <c r="E13" s="195"/>
      <c r="F13" s="196"/>
      <c r="G13" s="195"/>
      <c r="H13" s="195"/>
      <c r="I13" s="195"/>
      <c r="J13" s="194"/>
      <c r="M13" s="177" t="s">
        <v>245</v>
      </c>
      <c r="N13" s="213">
        <f>SUM(S9:S11)</f>
        <v>4996.2512196300004</v>
      </c>
    </row>
    <row r="14" spans="1:19" x14ac:dyDescent="0.2">
      <c r="A14" s="198"/>
      <c r="B14" s="197"/>
      <c r="C14" s="212" t="s">
        <v>262</v>
      </c>
      <c r="D14" s="211" t="s">
        <v>21</v>
      </c>
      <c r="E14" s="210" t="s">
        <v>261</v>
      </c>
      <c r="F14" s="196"/>
      <c r="G14" s="195"/>
      <c r="H14" s="195"/>
      <c r="I14" s="195"/>
      <c r="J14" s="194"/>
    </row>
    <row r="15" spans="1:19" x14ac:dyDescent="0.2">
      <c r="A15" s="198"/>
      <c r="B15" s="197"/>
      <c r="C15" s="204" t="s">
        <v>260</v>
      </c>
      <c r="D15" s="209" t="s">
        <v>259</v>
      </c>
      <c r="E15" s="208" t="s">
        <v>259</v>
      </c>
      <c r="F15" s="196"/>
      <c r="G15" s="195"/>
      <c r="H15" s="195"/>
      <c r="I15" s="195"/>
      <c r="J15" s="194"/>
      <c r="M15" s="188" t="s">
        <v>258</v>
      </c>
    </row>
    <row r="16" spans="1:19" x14ac:dyDescent="0.2">
      <c r="A16" s="198"/>
      <c r="B16" s="197"/>
      <c r="C16" s="207" t="s">
        <v>72</v>
      </c>
      <c r="D16" s="206">
        <v>1.2</v>
      </c>
      <c r="E16" s="205">
        <v>1.08</v>
      </c>
      <c r="F16" s="196"/>
      <c r="G16" s="195"/>
      <c r="H16" s="195"/>
      <c r="I16" s="195"/>
      <c r="J16" s="194"/>
    </row>
    <row r="17" spans="1:20" x14ac:dyDescent="0.2">
      <c r="A17" s="198"/>
      <c r="B17" s="197"/>
      <c r="C17" s="204" t="s">
        <v>71</v>
      </c>
      <c r="D17" s="203">
        <v>5.5</v>
      </c>
      <c r="E17" s="202">
        <v>5.45</v>
      </c>
      <c r="F17" s="196"/>
      <c r="G17" s="195"/>
      <c r="H17" s="195"/>
      <c r="I17" s="195"/>
      <c r="J17" s="194"/>
      <c r="M17" t="s">
        <v>257</v>
      </c>
    </row>
    <row r="18" spans="1:20" x14ac:dyDescent="0.2">
      <c r="A18" s="198"/>
      <c r="B18" s="197"/>
      <c r="C18" s="195"/>
      <c r="D18" s="195"/>
      <c r="E18" s="195"/>
      <c r="F18" s="196"/>
      <c r="G18" s="195"/>
      <c r="H18" s="195"/>
      <c r="I18" s="195"/>
      <c r="J18" s="194"/>
    </row>
    <row r="19" spans="1:20" x14ac:dyDescent="0.2">
      <c r="A19" s="198"/>
      <c r="B19" s="199" t="s">
        <v>0</v>
      </c>
      <c r="C19" s="195"/>
      <c r="D19" s="195"/>
      <c r="E19" s="195"/>
      <c r="F19" s="196"/>
      <c r="G19" s="195"/>
      <c r="H19" s="195"/>
      <c r="I19" s="195"/>
      <c r="J19" s="194"/>
      <c r="M19" s="185" t="s">
        <v>17</v>
      </c>
      <c r="N19" s="186" t="s">
        <v>43</v>
      </c>
      <c r="O19" s="201" t="s">
        <v>251</v>
      </c>
      <c r="P19" s="186" t="s">
        <v>18</v>
      </c>
      <c r="Q19" s="186" t="s">
        <v>250</v>
      </c>
      <c r="R19" s="186" t="s">
        <v>249</v>
      </c>
      <c r="S19" s="186" t="s">
        <v>256</v>
      </c>
    </row>
    <row r="20" spans="1:20" x14ac:dyDescent="0.2">
      <c r="A20" s="198"/>
      <c r="B20" s="195" t="s">
        <v>255</v>
      </c>
      <c r="C20" s="195"/>
      <c r="D20" s="195"/>
      <c r="E20" s="195"/>
      <c r="F20" s="196"/>
      <c r="G20" s="195"/>
      <c r="H20" s="195"/>
      <c r="I20" s="195"/>
      <c r="J20" s="194"/>
      <c r="M20" s="182">
        <f>M9</f>
        <v>2010</v>
      </c>
      <c r="N20" s="179">
        <f>E7</f>
        <v>15000</v>
      </c>
      <c r="O20" s="181">
        <f>N9</f>
        <v>7500</v>
      </c>
      <c r="P20">
        <f>O9</f>
        <v>36</v>
      </c>
      <c r="Q20">
        <f>P9</f>
        <v>30</v>
      </c>
      <c r="R20" s="180">
        <f>Q20^($E$16)/($E$17^$E$16+Q20^$E$16)</f>
        <v>0.86318841609108332</v>
      </c>
      <c r="S20" s="179">
        <f>R20*N20</f>
        <v>12947.826241366251</v>
      </c>
    </row>
    <row r="21" spans="1:20" x14ac:dyDescent="0.2">
      <c r="A21" s="198"/>
      <c r="B21" s="200"/>
      <c r="C21" s="195"/>
      <c r="D21" s="195"/>
      <c r="E21" s="195"/>
      <c r="F21" s="196"/>
      <c r="G21" s="195"/>
      <c r="H21" s="195"/>
      <c r="I21" s="195"/>
      <c r="J21" s="194"/>
      <c r="M21" s="182">
        <f>M10</f>
        <v>2011</v>
      </c>
      <c r="N21" s="179">
        <f>E8</f>
        <v>15200</v>
      </c>
      <c r="O21" s="181">
        <f>N10</f>
        <v>6000</v>
      </c>
      <c r="P21">
        <f>O10</f>
        <v>24</v>
      </c>
      <c r="Q21">
        <f>P10</f>
        <v>18</v>
      </c>
      <c r="R21" s="180">
        <f>Q21^($E$16)/($E$17^$E$16+Q21^$E$16)</f>
        <v>0.78420416373573076</v>
      </c>
      <c r="S21" s="179">
        <f>R21*N21</f>
        <v>11919.903288783107</v>
      </c>
    </row>
    <row r="22" spans="1:20" x14ac:dyDescent="0.2">
      <c r="A22" s="198"/>
      <c r="B22" s="199" t="s">
        <v>1</v>
      </c>
      <c r="C22" s="195"/>
      <c r="D22" s="195"/>
      <c r="E22" s="195"/>
      <c r="F22" s="196"/>
      <c r="G22" s="195"/>
      <c r="H22" s="195"/>
      <c r="I22" s="195"/>
      <c r="J22" s="194"/>
      <c r="M22" s="182">
        <f>M11</f>
        <v>2012</v>
      </c>
      <c r="N22" s="179">
        <f>E9</f>
        <v>15400</v>
      </c>
      <c r="O22" s="181">
        <f>N11</f>
        <v>4500</v>
      </c>
      <c r="P22">
        <f>O11</f>
        <v>12</v>
      </c>
      <c r="Q22">
        <f>P11</f>
        <v>6</v>
      </c>
      <c r="R22" s="180">
        <f>Q22^($E$16)/($E$17^$E$16+Q22^$E$16)</f>
        <v>0.52593554391637098</v>
      </c>
      <c r="S22" s="179">
        <f>R22*N22</f>
        <v>8099.4073763121132</v>
      </c>
    </row>
    <row r="23" spans="1:20" x14ac:dyDescent="0.2">
      <c r="A23" s="198"/>
      <c r="B23" s="195" t="s">
        <v>254</v>
      </c>
      <c r="C23" s="195"/>
      <c r="D23" s="195"/>
      <c r="E23" s="195"/>
      <c r="F23" s="196"/>
      <c r="G23" s="195"/>
      <c r="H23" s="195"/>
      <c r="I23" s="195"/>
      <c r="J23" s="194"/>
      <c r="S23" s="180"/>
    </row>
    <row r="24" spans="1:20" ht="17" thickBot="1" x14ac:dyDescent="0.25">
      <c r="A24" s="198"/>
      <c r="B24" s="197"/>
      <c r="C24" s="195"/>
      <c r="D24" s="195"/>
      <c r="E24" s="195"/>
      <c r="F24" s="196"/>
      <c r="G24" s="195"/>
      <c r="H24" s="195"/>
      <c r="I24" s="195"/>
      <c r="J24" s="194"/>
      <c r="M24" s="188" t="s">
        <v>253</v>
      </c>
      <c r="N24" s="193">
        <f>SUM(O20:O22)/SUM(S20:S22)</f>
        <v>0.54599827856061256</v>
      </c>
    </row>
    <row r="25" spans="1:20" ht="17" thickBot="1" x14ac:dyDescent="0.25">
      <c r="A25" s="192" t="s">
        <v>176</v>
      </c>
      <c r="B25" s="191"/>
      <c r="C25" s="190"/>
      <c r="D25" s="190"/>
      <c r="E25" s="190"/>
      <c r="F25" s="190"/>
      <c r="G25" s="190"/>
      <c r="H25" s="190"/>
      <c r="I25" s="190"/>
      <c r="J25" s="189"/>
      <c r="M25" s="188"/>
      <c r="N25" s="187"/>
    </row>
    <row r="26" spans="1:20" x14ac:dyDescent="0.2">
      <c r="M26" t="s">
        <v>252</v>
      </c>
      <c r="N26" s="187"/>
    </row>
    <row r="27" spans="1:20" x14ac:dyDescent="0.2">
      <c r="M27" s="188"/>
      <c r="N27" s="187"/>
    </row>
    <row r="28" spans="1:20" x14ac:dyDescent="0.2">
      <c r="M28" s="185" t="s">
        <v>17</v>
      </c>
      <c r="N28" s="186" t="s">
        <v>43</v>
      </c>
      <c r="O28" s="186" t="s">
        <v>251</v>
      </c>
      <c r="P28" s="186" t="s">
        <v>18</v>
      </c>
      <c r="Q28" s="186" t="s">
        <v>250</v>
      </c>
      <c r="R28" s="186" t="s">
        <v>249</v>
      </c>
      <c r="S28" s="186" t="s">
        <v>248</v>
      </c>
      <c r="T28" s="186" t="s">
        <v>247</v>
      </c>
    </row>
    <row r="29" spans="1:20" x14ac:dyDescent="0.2">
      <c r="M29" s="185" t="s">
        <v>246</v>
      </c>
      <c r="N29" s="183"/>
      <c r="O29" s="183"/>
      <c r="P29" s="183">
        <v>60</v>
      </c>
      <c r="Q29" s="183">
        <f>P29-6</f>
        <v>54</v>
      </c>
      <c r="R29" s="184">
        <f>Q29^($E$16)/($E$17^$E$16+Q29^$E$16)</f>
        <v>0.92250203564314082</v>
      </c>
      <c r="S29" s="183"/>
      <c r="T29" s="183"/>
    </row>
    <row r="30" spans="1:20" x14ac:dyDescent="0.2">
      <c r="M30" s="182">
        <f>M20</f>
        <v>2010</v>
      </c>
      <c r="N30" s="179">
        <f>N20</f>
        <v>15000</v>
      </c>
      <c r="O30" s="181">
        <f>O20</f>
        <v>7500</v>
      </c>
      <c r="P30">
        <f>P20</f>
        <v>36</v>
      </c>
      <c r="Q30">
        <f>P30-6</f>
        <v>30</v>
      </c>
      <c r="R30" s="180">
        <f>Q30^($E$16)/($E$17^$E$16+Q30^$E$16)</f>
        <v>0.86318841609108332</v>
      </c>
      <c r="S30" s="180">
        <f>R29-R30</f>
        <v>5.9313619552057495E-2</v>
      </c>
      <c r="T30" s="179">
        <f>S30*N30*$N$24</f>
        <v>485.77701255933727</v>
      </c>
    </row>
    <row r="31" spans="1:20" x14ac:dyDescent="0.2">
      <c r="M31" s="182">
        <f>M21</f>
        <v>2011</v>
      </c>
      <c r="N31" s="179">
        <f>N21</f>
        <v>15200</v>
      </c>
      <c r="O31" s="181">
        <f>O21</f>
        <v>6000</v>
      </c>
      <c r="P31">
        <f>P21</f>
        <v>24</v>
      </c>
      <c r="Q31">
        <f>P31-6</f>
        <v>18</v>
      </c>
      <c r="R31" s="180">
        <f>Q31^($E$16)/($E$17^$E$16+Q31^$E$16)</f>
        <v>0.78420416373573076</v>
      </c>
      <c r="S31" s="180">
        <f>R29-R31</f>
        <v>0.13829787190741005</v>
      </c>
      <c r="T31" s="179">
        <f>S31*N31*$N$24</f>
        <v>1147.7580798486381</v>
      </c>
    </row>
    <row r="32" spans="1:20" x14ac:dyDescent="0.2">
      <c r="M32" s="182">
        <f>M22</f>
        <v>2012</v>
      </c>
      <c r="N32" s="179">
        <f>N22</f>
        <v>15400</v>
      </c>
      <c r="O32" s="181">
        <f>O22</f>
        <v>4500</v>
      </c>
      <c r="P32">
        <f>P22</f>
        <v>12</v>
      </c>
      <c r="Q32">
        <f>P32-6</f>
        <v>6</v>
      </c>
      <c r="R32" s="180">
        <f>Q32^($E$16)/($E$17^$E$16+Q32^$E$16)</f>
        <v>0.52593554391637098</v>
      </c>
      <c r="S32" s="180">
        <f>R29-R32</f>
        <v>0.39656649172676983</v>
      </c>
      <c r="T32" s="179">
        <f>S32*N32*$N$24</f>
        <v>3334.4791759916207</v>
      </c>
    </row>
    <row r="33" spans="13:14" ht="17" thickBot="1" x14ac:dyDescent="0.25">
      <c r="M33" s="178"/>
    </row>
    <row r="34" spans="13:14" ht="17" thickBot="1" x14ac:dyDescent="0.25">
      <c r="M34" s="177" t="s">
        <v>245</v>
      </c>
      <c r="N34" s="176">
        <f>SUM(T30:T32)</f>
        <v>4968.0142683995964</v>
      </c>
    </row>
    <row r="35" spans="13:14" x14ac:dyDescent="0.2">
      <c r="M35" s="175"/>
    </row>
    <row r="38" spans="13:14" ht="19" x14ac:dyDescent="0.25">
      <c r="M38" s="174" t="s">
        <v>220</v>
      </c>
    </row>
    <row r="39" spans="13:14" x14ac:dyDescent="0.2">
      <c r="M39" t="s">
        <v>221</v>
      </c>
    </row>
    <row r="40" spans="13:14" x14ac:dyDescent="0.2">
      <c r="M40" t="s">
        <v>222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5C588-E744-CD4B-BFC6-01FFC0CAED15}">
  <dimension ref="A1:U50"/>
  <sheetViews>
    <sheetView workbookViewId="0"/>
  </sheetViews>
  <sheetFormatPr baseColWidth="10" defaultColWidth="11" defaultRowHeight="16" outlineLevelCol="1" x14ac:dyDescent="0.2"/>
  <cols>
    <col min="1" max="1" width="4.5" customWidth="1"/>
    <col min="3" max="3" width="10.83203125" customWidth="1"/>
    <col min="4" max="4" width="13.6640625" customWidth="1"/>
    <col min="5" max="10" width="10.83203125" customWidth="1"/>
    <col min="12" max="12" width="11.1640625" bestFit="1" customWidth="1"/>
    <col min="13" max="13" width="18.83203125" hidden="1" customWidth="1" outlineLevel="1"/>
    <col min="14" max="20" width="10.83203125" hidden="1" customWidth="1" outlineLevel="1"/>
    <col min="21" max="21" width="11" collapsed="1"/>
  </cols>
  <sheetData>
    <row r="1" spans="1:19" ht="19" x14ac:dyDescent="0.25">
      <c r="A1" s="227" t="s">
        <v>293</v>
      </c>
      <c r="B1" s="226"/>
      <c r="C1" s="225"/>
      <c r="D1" s="225"/>
      <c r="E1" s="225"/>
      <c r="F1" s="224"/>
      <c r="G1" s="224"/>
      <c r="H1" s="224"/>
      <c r="I1" s="224"/>
      <c r="J1" s="223"/>
      <c r="L1" s="174" t="s">
        <v>177</v>
      </c>
    </row>
    <row r="2" spans="1:19" x14ac:dyDescent="0.2">
      <c r="A2" s="198"/>
      <c r="B2" s="195"/>
      <c r="C2" s="195"/>
      <c r="D2" s="195"/>
      <c r="E2" s="195"/>
      <c r="F2" s="195"/>
      <c r="G2" s="195"/>
      <c r="H2" s="195"/>
      <c r="I2" s="195"/>
      <c r="J2" s="194"/>
    </row>
    <row r="3" spans="1:19" x14ac:dyDescent="0.2">
      <c r="A3" s="198"/>
      <c r="B3" s="195" t="s">
        <v>274</v>
      </c>
      <c r="C3" s="214"/>
      <c r="D3" s="195"/>
      <c r="E3" s="195"/>
      <c r="F3" s="195"/>
      <c r="G3" s="195"/>
      <c r="H3" s="195"/>
      <c r="I3" s="195"/>
      <c r="J3" s="194"/>
      <c r="M3" s="188" t="s">
        <v>273</v>
      </c>
    </row>
    <row r="4" spans="1:19" x14ac:dyDescent="0.2">
      <c r="A4" s="198"/>
      <c r="B4" s="195"/>
      <c r="C4" s="214"/>
      <c r="D4" s="195"/>
      <c r="E4" s="195"/>
      <c r="F4" s="195"/>
      <c r="G4" s="195"/>
      <c r="H4" s="195"/>
      <c r="I4" s="195"/>
      <c r="J4" s="194"/>
      <c r="N4" s="179"/>
    </row>
    <row r="5" spans="1:19" x14ac:dyDescent="0.2">
      <c r="A5" s="198"/>
      <c r="B5" s="195"/>
      <c r="C5" s="222" t="s">
        <v>272</v>
      </c>
      <c r="D5" s="211" t="s">
        <v>271</v>
      </c>
      <c r="E5" s="210" t="s">
        <v>270</v>
      </c>
      <c r="F5" s="195"/>
      <c r="G5" s="195"/>
      <c r="H5" s="195"/>
      <c r="I5" s="195"/>
      <c r="J5" s="194"/>
      <c r="M5" s="229" t="s">
        <v>257</v>
      </c>
    </row>
    <row r="6" spans="1:19" x14ac:dyDescent="0.2">
      <c r="A6" s="198"/>
      <c r="B6" s="195"/>
      <c r="C6" s="218" t="s">
        <v>268</v>
      </c>
      <c r="D6" s="209" t="s">
        <v>267</v>
      </c>
      <c r="E6" s="208" t="s">
        <v>43</v>
      </c>
      <c r="F6" s="195"/>
      <c r="G6" s="195"/>
      <c r="H6" s="195"/>
      <c r="I6" s="195"/>
      <c r="J6" s="194"/>
    </row>
    <row r="7" spans="1:19" x14ac:dyDescent="0.2">
      <c r="A7" s="198"/>
      <c r="B7" s="195"/>
      <c r="C7" s="221">
        <v>2010</v>
      </c>
      <c r="D7" s="220">
        <v>7500</v>
      </c>
      <c r="E7" s="219">
        <v>15000</v>
      </c>
      <c r="F7" s="195"/>
      <c r="G7" s="195"/>
      <c r="H7" s="195"/>
      <c r="I7" s="195"/>
      <c r="J7" s="194"/>
      <c r="M7" s="185" t="s">
        <v>17</v>
      </c>
      <c r="N7" s="183" t="s">
        <v>43</v>
      </c>
      <c r="O7" s="184" t="s">
        <v>251</v>
      </c>
      <c r="P7" s="183" t="s">
        <v>18</v>
      </c>
      <c r="Q7" s="183" t="s">
        <v>250</v>
      </c>
      <c r="R7" s="183" t="s">
        <v>249</v>
      </c>
      <c r="S7" s="183" t="s">
        <v>256</v>
      </c>
    </row>
    <row r="8" spans="1:19" x14ac:dyDescent="0.2">
      <c r="A8" s="198"/>
      <c r="B8" s="195"/>
      <c r="C8" s="221">
        <v>2011</v>
      </c>
      <c r="D8" s="220">
        <v>6000</v>
      </c>
      <c r="E8" s="219">
        <v>15200</v>
      </c>
      <c r="F8" s="195"/>
      <c r="G8" s="195"/>
      <c r="H8" s="195"/>
      <c r="I8" s="195"/>
      <c r="J8" s="194"/>
      <c r="M8" s="182">
        <v>2010</v>
      </c>
      <c r="N8" s="179">
        <f>E7</f>
        <v>15000</v>
      </c>
      <c r="O8" s="179">
        <f>D7</f>
        <v>7500</v>
      </c>
      <c r="P8">
        <v>36</v>
      </c>
      <c r="Q8">
        <f>P8-6</f>
        <v>30</v>
      </c>
      <c r="R8" s="180">
        <f>1-EXP(-(Q8/$D$17)^$D$16)</f>
        <v>0.97648225414399092</v>
      </c>
      <c r="S8" s="179">
        <f>R8*N8</f>
        <v>14647.233812159864</v>
      </c>
    </row>
    <row r="9" spans="1:19" x14ac:dyDescent="0.2">
      <c r="A9" s="198"/>
      <c r="B9" s="195"/>
      <c r="C9" s="218">
        <v>2012</v>
      </c>
      <c r="D9" s="217">
        <v>4500</v>
      </c>
      <c r="E9" s="216">
        <v>15400</v>
      </c>
      <c r="F9" s="195"/>
      <c r="G9" s="195"/>
      <c r="H9" s="195"/>
      <c r="I9" s="195"/>
      <c r="J9" s="194"/>
      <c r="M9" s="182">
        <v>2011</v>
      </c>
      <c r="N9" s="179">
        <f>E8</f>
        <v>15200</v>
      </c>
      <c r="O9" s="179">
        <f>D8</f>
        <v>6000</v>
      </c>
      <c r="P9">
        <v>24</v>
      </c>
      <c r="Q9">
        <f>P9-6</f>
        <v>18</v>
      </c>
      <c r="R9" s="180">
        <f>1-EXP(-(Q9/$D$17)^$D$16)</f>
        <v>0.89460077543813565</v>
      </c>
      <c r="S9" s="179">
        <f>R9*N9</f>
        <v>13597.931786659661</v>
      </c>
    </row>
    <row r="10" spans="1:19" x14ac:dyDescent="0.2">
      <c r="A10" s="198"/>
      <c r="B10" s="214"/>
      <c r="C10" s="215"/>
      <c r="D10" s="215"/>
      <c r="E10" s="215"/>
      <c r="F10" s="215"/>
      <c r="G10" s="195"/>
      <c r="H10" s="195"/>
      <c r="I10" s="195"/>
      <c r="J10" s="194"/>
      <c r="M10" s="182">
        <v>2012</v>
      </c>
      <c r="N10" s="179">
        <f>E9</f>
        <v>15400</v>
      </c>
      <c r="O10" s="179">
        <f>D9</f>
        <v>4500</v>
      </c>
      <c r="P10">
        <v>12</v>
      </c>
      <c r="Q10">
        <f>P10-6</f>
        <v>6</v>
      </c>
      <c r="R10" s="180">
        <f>1-EXP(-(Q10/$D$17)^$D$16)</f>
        <v>0.52763344725898531</v>
      </c>
      <c r="S10" s="179">
        <f>R10*N10</f>
        <v>8125.5550877883734</v>
      </c>
    </row>
    <row r="11" spans="1:19" x14ac:dyDescent="0.2">
      <c r="A11" s="198"/>
      <c r="B11" s="197" t="s">
        <v>292</v>
      </c>
      <c r="C11" s="214"/>
      <c r="D11" s="195"/>
      <c r="E11" s="195"/>
      <c r="F11" s="206"/>
      <c r="G11" s="195"/>
      <c r="H11" s="195"/>
      <c r="I11" s="195"/>
      <c r="J11" s="194"/>
      <c r="S11" s="180"/>
    </row>
    <row r="12" spans="1:19" x14ac:dyDescent="0.2">
      <c r="A12" s="198"/>
      <c r="B12" s="197" t="s">
        <v>263</v>
      </c>
      <c r="C12" s="195"/>
      <c r="D12" s="195"/>
      <c r="E12" s="195"/>
      <c r="F12" s="196"/>
      <c r="G12" s="195"/>
      <c r="H12" s="195"/>
      <c r="I12" s="195"/>
      <c r="J12" s="194"/>
      <c r="M12" t="s">
        <v>253</v>
      </c>
      <c r="N12" s="240">
        <f>SUM(O8:O10)/SUM(S8:S10)</f>
        <v>0.49490358343731689</v>
      </c>
    </row>
    <row r="13" spans="1:19" x14ac:dyDescent="0.2">
      <c r="A13" s="198"/>
      <c r="B13" s="197"/>
      <c r="C13" s="195"/>
      <c r="D13" s="195"/>
      <c r="E13" s="195"/>
      <c r="F13" s="196"/>
      <c r="G13" s="195"/>
      <c r="H13" s="195"/>
      <c r="I13" s="195"/>
      <c r="J13" s="194"/>
      <c r="M13" s="188"/>
      <c r="N13" s="187"/>
    </row>
    <row r="14" spans="1:19" x14ac:dyDescent="0.2">
      <c r="A14" s="198"/>
      <c r="B14" s="197"/>
      <c r="C14" s="212" t="s">
        <v>291</v>
      </c>
      <c r="D14" s="222" t="s">
        <v>261</v>
      </c>
      <c r="E14" s="195"/>
      <c r="F14" s="196"/>
      <c r="G14" s="195"/>
      <c r="H14" s="195"/>
      <c r="I14" s="195"/>
      <c r="J14" s="194"/>
      <c r="M14" s="229" t="s">
        <v>252</v>
      </c>
      <c r="N14" s="187"/>
    </row>
    <row r="15" spans="1:19" x14ac:dyDescent="0.2">
      <c r="A15" s="198"/>
      <c r="B15" s="197"/>
      <c r="C15" s="204" t="s">
        <v>260</v>
      </c>
      <c r="D15" s="218" t="s">
        <v>259</v>
      </c>
      <c r="E15" s="195"/>
      <c r="F15" s="196"/>
      <c r="G15" s="195"/>
      <c r="H15" s="195"/>
      <c r="I15" s="195"/>
      <c r="J15" s="194"/>
      <c r="M15" s="188"/>
      <c r="N15" s="187"/>
    </row>
    <row r="16" spans="1:19" x14ac:dyDescent="0.2">
      <c r="A16" s="198"/>
      <c r="B16" s="197"/>
      <c r="C16" s="207" t="s">
        <v>72</v>
      </c>
      <c r="D16" s="239">
        <v>1</v>
      </c>
      <c r="E16" s="195"/>
      <c r="F16" s="196"/>
      <c r="G16" s="195"/>
      <c r="H16" s="195"/>
      <c r="I16" s="195"/>
      <c r="J16" s="194"/>
      <c r="M16" s="185" t="s">
        <v>17</v>
      </c>
      <c r="N16" s="183" t="s">
        <v>43</v>
      </c>
      <c r="O16" s="183" t="s">
        <v>251</v>
      </c>
      <c r="P16" s="183" t="s">
        <v>18</v>
      </c>
      <c r="Q16" s="183" t="s">
        <v>250</v>
      </c>
      <c r="R16" s="183" t="s">
        <v>249</v>
      </c>
      <c r="S16" s="183" t="s">
        <v>247</v>
      </c>
    </row>
    <row r="17" spans="1:19" x14ac:dyDescent="0.2">
      <c r="A17" s="198"/>
      <c r="B17" s="197"/>
      <c r="C17" s="204" t="s">
        <v>71</v>
      </c>
      <c r="D17" s="238">
        <v>8</v>
      </c>
      <c r="E17" s="195"/>
      <c r="F17" s="196"/>
      <c r="G17" s="195"/>
      <c r="H17" s="195"/>
      <c r="I17" s="195"/>
      <c r="J17" s="194"/>
      <c r="M17" s="182">
        <f>M8</f>
        <v>2010</v>
      </c>
      <c r="N17" s="179">
        <f>N8</f>
        <v>15000</v>
      </c>
      <c r="O17" s="181">
        <f>O8</f>
        <v>7500</v>
      </c>
      <c r="P17">
        <f>P8</f>
        <v>36</v>
      </c>
      <c r="Q17">
        <f>P17-6</f>
        <v>30</v>
      </c>
      <c r="R17" s="180">
        <f>1-EXP(-(Q17/$D$17)^$D$16)</f>
        <v>0.97648225414399092</v>
      </c>
      <c r="S17" s="179">
        <f>(1-R17)*N17*$N$12</f>
        <v>174.585250477605</v>
      </c>
    </row>
    <row r="18" spans="1:19" x14ac:dyDescent="0.2">
      <c r="A18" s="198"/>
      <c r="B18" s="197"/>
      <c r="C18" s="195"/>
      <c r="D18" s="195"/>
      <c r="E18" s="195"/>
      <c r="F18" s="196"/>
      <c r="G18" s="195"/>
      <c r="H18" s="195"/>
      <c r="I18" s="195"/>
      <c r="J18" s="194"/>
      <c r="M18" s="182">
        <f>M9</f>
        <v>2011</v>
      </c>
      <c r="N18" s="179">
        <f>N9</f>
        <v>15200</v>
      </c>
      <c r="O18" s="181">
        <f>O9</f>
        <v>6000</v>
      </c>
      <c r="P18">
        <f>P9</f>
        <v>24</v>
      </c>
      <c r="Q18">
        <f>P18-6</f>
        <v>18</v>
      </c>
      <c r="R18" s="180">
        <f>1-EXP(-(Q18/$D$17)^$D$16)</f>
        <v>0.89460077543813565</v>
      </c>
      <c r="S18" s="179">
        <f>(1-R18)*N18*$N$12</f>
        <v>792.86929969315327</v>
      </c>
    </row>
    <row r="19" spans="1:19" x14ac:dyDescent="0.2">
      <c r="A19" s="198"/>
      <c r="B19" s="199" t="s">
        <v>290</v>
      </c>
      <c r="C19" s="195"/>
      <c r="D19" s="214">
        <v>150</v>
      </c>
      <c r="E19" s="195"/>
      <c r="F19" s="196"/>
      <c r="G19" s="195"/>
      <c r="H19" s="195"/>
      <c r="I19" s="195"/>
      <c r="J19" s="194"/>
      <c r="M19" s="182">
        <f>M10</f>
        <v>2012</v>
      </c>
      <c r="N19" s="179">
        <f>N10</f>
        <v>15400</v>
      </c>
      <c r="O19" s="181">
        <f>O10</f>
        <v>4500</v>
      </c>
      <c r="P19">
        <f>P10</f>
        <v>12</v>
      </c>
      <c r="Q19">
        <f>P19-6</f>
        <v>6</v>
      </c>
      <c r="R19" s="180">
        <f>1-EXP(-(Q19/$D$17)^$D$16)</f>
        <v>0.52763344725898531</v>
      </c>
      <c r="S19" s="179">
        <f>(1-R19)*N19*$N$12</f>
        <v>3600.1488545708921</v>
      </c>
    </row>
    <row r="20" spans="1:19" ht="17" thickBot="1" x14ac:dyDescent="0.25">
      <c r="A20" s="198"/>
      <c r="B20" s="199" t="s">
        <v>289</v>
      </c>
      <c r="C20" s="195"/>
      <c r="D20" s="220">
        <v>15500</v>
      </c>
      <c r="E20" s="195"/>
      <c r="F20" s="196"/>
      <c r="G20" s="195"/>
      <c r="H20" s="195"/>
      <c r="I20" s="195"/>
      <c r="J20" s="194"/>
    </row>
    <row r="21" spans="1:19" ht="17" thickBot="1" x14ac:dyDescent="0.25">
      <c r="A21" s="198"/>
      <c r="B21" s="199" t="s">
        <v>288</v>
      </c>
      <c r="C21" s="195"/>
      <c r="D21" s="195"/>
      <c r="E21" s="195"/>
      <c r="F21" s="196"/>
      <c r="G21" s="195"/>
      <c r="H21" s="195"/>
      <c r="I21" s="195"/>
      <c r="J21" s="194"/>
      <c r="M21" s="177" t="s">
        <v>245</v>
      </c>
      <c r="N21" s="176">
        <f>SUM(S17:S19)</f>
        <v>4567.6034047416506</v>
      </c>
    </row>
    <row r="22" spans="1:19" x14ac:dyDescent="0.2">
      <c r="A22" s="198"/>
      <c r="B22" s="197"/>
      <c r="C22" s="195"/>
      <c r="D22" s="195"/>
      <c r="E22" s="195"/>
      <c r="F22" s="196"/>
      <c r="G22" s="195"/>
      <c r="H22" s="195"/>
      <c r="I22" s="195"/>
      <c r="J22" s="194"/>
    </row>
    <row r="23" spans="1:19" x14ac:dyDescent="0.2">
      <c r="A23" s="198"/>
      <c r="B23" s="197"/>
      <c r="C23" s="237"/>
      <c r="D23" s="236" t="s">
        <v>47</v>
      </c>
      <c r="E23" s="236" t="s">
        <v>72</v>
      </c>
      <c r="F23" s="235" t="s">
        <v>71</v>
      </c>
      <c r="G23" s="195"/>
      <c r="H23" s="195"/>
      <c r="I23" s="195"/>
      <c r="J23" s="194"/>
      <c r="M23" s="188" t="s">
        <v>258</v>
      </c>
      <c r="N23" s="179"/>
      <c r="R23" s="180"/>
      <c r="S23" s="228"/>
    </row>
    <row r="24" spans="1:19" x14ac:dyDescent="0.2">
      <c r="A24" s="198"/>
      <c r="B24" s="197"/>
      <c r="C24" s="207" t="s">
        <v>47</v>
      </c>
      <c r="D24" s="234">
        <v>4.0000000000000001E-3</v>
      </c>
      <c r="E24" s="234">
        <v>-1E-3</v>
      </c>
      <c r="F24" s="233">
        <v>0.25</v>
      </c>
      <c r="G24" s="195"/>
      <c r="H24" s="195"/>
      <c r="I24" s="195"/>
      <c r="J24" s="194"/>
      <c r="N24" s="179"/>
      <c r="R24" s="180"/>
      <c r="S24" s="228"/>
    </row>
    <row r="25" spans="1:19" x14ac:dyDescent="0.2">
      <c r="A25" s="198"/>
      <c r="B25" s="197"/>
      <c r="C25" s="207" t="s">
        <v>72</v>
      </c>
      <c r="D25" s="234">
        <v>-1E-3</v>
      </c>
      <c r="E25" s="234">
        <v>0.45</v>
      </c>
      <c r="F25" s="233">
        <v>-0.3</v>
      </c>
      <c r="G25" s="195"/>
      <c r="H25" s="195"/>
      <c r="I25" s="195"/>
      <c r="J25" s="194"/>
      <c r="M25" t="s">
        <v>287</v>
      </c>
      <c r="N25" s="179">
        <f>D20*N12</f>
        <v>7671.005543278412</v>
      </c>
      <c r="R25" s="180"/>
      <c r="S25" s="228"/>
    </row>
    <row r="26" spans="1:19" ht="17" thickBot="1" x14ac:dyDescent="0.25">
      <c r="A26" s="198"/>
      <c r="B26" s="197"/>
      <c r="C26" s="204" t="s">
        <v>71</v>
      </c>
      <c r="D26" s="232">
        <v>0.25</v>
      </c>
      <c r="E26" s="232">
        <v>-0.3</v>
      </c>
      <c r="F26" s="231">
        <v>18</v>
      </c>
      <c r="G26" s="195"/>
      <c r="H26" s="195"/>
      <c r="I26" s="195"/>
      <c r="J26" s="194"/>
      <c r="M26" t="s">
        <v>286</v>
      </c>
      <c r="N26" s="179">
        <f>N25*D19</f>
        <v>1150650.8314917618</v>
      </c>
      <c r="R26" s="180"/>
      <c r="S26" s="228"/>
    </row>
    <row r="27" spans="1:19" ht="17" thickBot="1" x14ac:dyDescent="0.25">
      <c r="A27" s="198"/>
      <c r="B27" s="197"/>
      <c r="C27" s="195"/>
      <c r="D27" s="195"/>
      <c r="E27" s="195"/>
      <c r="F27" s="196"/>
      <c r="G27" s="195"/>
      <c r="H27" s="195"/>
      <c r="I27" s="195"/>
      <c r="J27" s="194"/>
      <c r="M27" s="177" t="s">
        <v>285</v>
      </c>
      <c r="N27" s="176">
        <f>SQRT(N26)</f>
        <v>1072.6839383023137</v>
      </c>
      <c r="R27" s="180"/>
      <c r="S27" s="228"/>
    </row>
    <row r="28" spans="1:19" x14ac:dyDescent="0.2">
      <c r="A28" s="198"/>
      <c r="B28" s="199" t="s">
        <v>0</v>
      </c>
      <c r="C28" s="195"/>
      <c r="D28" s="195"/>
      <c r="E28" s="195"/>
      <c r="F28" s="196"/>
      <c r="G28" s="195"/>
      <c r="H28" s="195"/>
      <c r="I28" s="195"/>
      <c r="J28" s="194"/>
      <c r="R28" s="180"/>
      <c r="S28" s="228"/>
    </row>
    <row r="29" spans="1:19" x14ac:dyDescent="0.2">
      <c r="A29" s="198"/>
      <c r="B29" s="195" t="s">
        <v>284</v>
      </c>
      <c r="C29" s="195"/>
      <c r="D29" s="195"/>
      <c r="E29" s="195"/>
      <c r="F29" s="196"/>
      <c r="G29" s="195"/>
      <c r="H29" s="195"/>
      <c r="I29" s="195"/>
      <c r="J29" s="194"/>
      <c r="M29" s="188" t="s">
        <v>283</v>
      </c>
      <c r="R29" s="180"/>
      <c r="S29" s="228"/>
    </row>
    <row r="30" spans="1:19" x14ac:dyDescent="0.2">
      <c r="A30" s="198"/>
      <c r="B30" s="195"/>
      <c r="C30" s="195"/>
      <c r="D30" s="195"/>
      <c r="E30" s="195"/>
      <c r="F30" s="196"/>
      <c r="G30" s="195"/>
      <c r="H30" s="195"/>
      <c r="I30" s="195"/>
      <c r="J30" s="194"/>
      <c r="R30" s="180"/>
      <c r="S30" s="228"/>
    </row>
    <row r="31" spans="1:19" x14ac:dyDescent="0.2">
      <c r="A31" s="198"/>
      <c r="B31" s="199" t="s">
        <v>1</v>
      </c>
      <c r="C31" s="195"/>
      <c r="D31" s="195"/>
      <c r="E31" s="195"/>
      <c r="F31" s="196"/>
      <c r="G31" s="195"/>
      <c r="H31" s="195"/>
      <c r="I31" s="195"/>
      <c r="J31" s="194"/>
      <c r="M31" t="s">
        <v>282</v>
      </c>
      <c r="N31" s="179">
        <f>D20^2*D24</f>
        <v>961000</v>
      </c>
      <c r="O31" t="s">
        <v>281</v>
      </c>
      <c r="R31" s="180"/>
      <c r="S31" s="228"/>
    </row>
    <row r="32" spans="1:19" ht="17" thickBot="1" x14ac:dyDescent="0.25">
      <c r="A32" s="198"/>
      <c r="B32" s="195" t="s">
        <v>280</v>
      </c>
      <c r="C32" s="195"/>
      <c r="D32" s="195"/>
      <c r="E32" s="195"/>
      <c r="F32" s="196"/>
      <c r="G32" s="195"/>
      <c r="H32" s="195"/>
      <c r="I32" s="195"/>
      <c r="J32" s="194"/>
      <c r="M32" t="s">
        <v>279</v>
      </c>
      <c r="N32" s="181">
        <f>SQRT(N31+N26)</f>
        <v>1453.1520331650649</v>
      </c>
    </row>
    <row r="33" spans="1:20" ht="17" thickBot="1" x14ac:dyDescent="0.25">
      <c r="A33" s="198"/>
      <c r="B33" s="200"/>
      <c r="C33" s="195"/>
      <c r="D33" s="195"/>
      <c r="E33" s="195"/>
      <c r="F33" s="196"/>
      <c r="G33" s="195"/>
      <c r="H33" s="195"/>
      <c r="I33" s="195"/>
      <c r="J33" s="194"/>
      <c r="M33" s="177" t="s">
        <v>278</v>
      </c>
      <c r="N33" s="230">
        <f>N32/N25</f>
        <v>0.1894343609800106</v>
      </c>
    </row>
    <row r="34" spans="1:20" x14ac:dyDescent="0.2">
      <c r="A34" s="198"/>
      <c r="B34" s="199" t="s">
        <v>2</v>
      </c>
      <c r="C34" s="195"/>
      <c r="D34" s="195"/>
      <c r="E34" s="195"/>
      <c r="F34" s="196"/>
      <c r="G34" s="195"/>
      <c r="H34" s="195"/>
      <c r="I34" s="195"/>
      <c r="J34" s="194"/>
      <c r="M34" s="229"/>
      <c r="N34" s="181"/>
    </row>
    <row r="35" spans="1:20" ht="19" x14ac:dyDescent="0.25">
      <c r="A35" s="198"/>
      <c r="B35" s="195" t="s">
        <v>277</v>
      </c>
      <c r="C35" s="195"/>
      <c r="D35" s="195"/>
      <c r="E35" s="195"/>
      <c r="F35" s="196"/>
      <c r="G35" s="195"/>
      <c r="H35" s="195"/>
      <c r="I35" s="195"/>
      <c r="J35" s="194"/>
      <c r="M35" s="174" t="s">
        <v>129</v>
      </c>
      <c r="N35" s="181"/>
    </row>
    <row r="36" spans="1:20" ht="17" customHeight="1" thickBot="1" x14ac:dyDescent="0.25">
      <c r="A36" s="198"/>
      <c r="B36" s="197"/>
      <c r="C36" s="195"/>
      <c r="D36" s="195"/>
      <c r="E36" s="195"/>
      <c r="F36" s="196"/>
      <c r="G36" s="195"/>
      <c r="H36" s="195"/>
      <c r="I36" s="195"/>
      <c r="J36" s="194"/>
      <c r="M36" s="155" t="s">
        <v>276</v>
      </c>
      <c r="N36" s="155"/>
      <c r="O36" s="155"/>
      <c r="P36" s="155"/>
      <c r="Q36" s="155"/>
      <c r="R36" s="155"/>
      <c r="S36" s="155"/>
      <c r="T36" s="155"/>
    </row>
    <row r="37" spans="1:20" ht="17" thickBot="1" x14ac:dyDescent="0.25">
      <c r="A37" s="192" t="s">
        <v>176</v>
      </c>
      <c r="B37" s="191"/>
      <c r="C37" s="190"/>
      <c r="D37" s="190"/>
      <c r="E37" s="190"/>
      <c r="F37" s="190"/>
      <c r="G37" s="190"/>
      <c r="H37" s="190"/>
      <c r="I37" s="190"/>
      <c r="J37" s="189"/>
      <c r="M37" s="155"/>
      <c r="N37" s="155"/>
      <c r="O37" s="155"/>
      <c r="P37" s="155"/>
      <c r="Q37" s="155"/>
      <c r="R37" s="155"/>
      <c r="S37" s="155"/>
      <c r="T37" s="155"/>
    </row>
    <row r="38" spans="1:20" x14ac:dyDescent="0.2">
      <c r="M38" s="155"/>
      <c r="N38" s="155"/>
      <c r="O38" s="155"/>
      <c r="P38" s="155"/>
      <c r="Q38" s="155"/>
      <c r="R38" s="155"/>
      <c r="S38" s="155"/>
      <c r="T38" s="155"/>
    </row>
    <row r="39" spans="1:20" x14ac:dyDescent="0.2">
      <c r="N39" s="179"/>
      <c r="R39" s="180"/>
      <c r="S39" s="180"/>
      <c r="T39" s="228"/>
    </row>
    <row r="40" spans="1:20" ht="19" x14ac:dyDescent="0.25">
      <c r="M40" s="174" t="s">
        <v>220</v>
      </c>
      <c r="N40" s="179"/>
      <c r="R40" s="180"/>
      <c r="S40" s="180"/>
      <c r="T40" s="228"/>
    </row>
    <row r="41" spans="1:20" x14ac:dyDescent="0.2">
      <c r="M41" t="s">
        <v>222</v>
      </c>
    </row>
    <row r="42" spans="1:20" x14ac:dyDescent="0.2">
      <c r="M42" t="s">
        <v>224</v>
      </c>
      <c r="N42" s="228"/>
    </row>
    <row r="46" spans="1:20" x14ac:dyDescent="0.2">
      <c r="N46" s="181"/>
    </row>
    <row r="48" spans="1:20" x14ac:dyDescent="0.2">
      <c r="M48" s="175"/>
    </row>
    <row r="50" spans="13:13" x14ac:dyDescent="0.2">
      <c r="M50" s="175"/>
    </row>
  </sheetData>
  <mergeCells count="1">
    <mergeCell ref="M36:T3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37AF1-55D7-364D-BF88-BB84C851F951}">
  <dimension ref="A1:U71"/>
  <sheetViews>
    <sheetView zoomScaleNormal="100" workbookViewId="0"/>
  </sheetViews>
  <sheetFormatPr baseColWidth="10" defaultColWidth="11" defaultRowHeight="16" outlineLevelCol="1" x14ac:dyDescent="0.2"/>
  <cols>
    <col min="1" max="1" width="4.5" customWidth="1"/>
    <col min="3" max="10" width="10.83203125" customWidth="1"/>
    <col min="13" max="20" width="10.83203125" hidden="1" customWidth="1" outlineLevel="1"/>
    <col min="21" max="21" width="11" collapsed="1"/>
  </cols>
  <sheetData>
    <row r="1" spans="1:19" ht="19" x14ac:dyDescent="0.25">
      <c r="A1" s="227" t="s">
        <v>308</v>
      </c>
      <c r="B1" s="226"/>
      <c r="C1" s="225"/>
      <c r="D1" s="225"/>
      <c r="E1" s="225"/>
      <c r="F1" s="224"/>
      <c r="G1" s="224"/>
      <c r="H1" s="224"/>
      <c r="I1" s="224"/>
      <c r="J1" s="223"/>
      <c r="L1" s="174" t="s">
        <v>177</v>
      </c>
    </row>
    <row r="2" spans="1:19" x14ac:dyDescent="0.2">
      <c r="A2" s="198"/>
      <c r="B2" s="195"/>
      <c r="C2" s="195"/>
      <c r="D2" s="195"/>
      <c r="E2" s="195"/>
      <c r="F2" s="195"/>
      <c r="G2" s="195"/>
      <c r="H2" s="195"/>
      <c r="I2" s="195"/>
      <c r="J2" s="194"/>
    </row>
    <row r="3" spans="1:19" x14ac:dyDescent="0.2">
      <c r="A3" s="198"/>
      <c r="B3" s="195" t="s">
        <v>274</v>
      </c>
      <c r="C3" s="214"/>
      <c r="D3" s="195"/>
      <c r="E3" s="195"/>
      <c r="F3" s="195"/>
      <c r="G3" s="195"/>
      <c r="H3" s="195"/>
      <c r="I3" s="195"/>
      <c r="J3" s="194"/>
      <c r="M3" s="188" t="s">
        <v>273</v>
      </c>
    </row>
    <row r="4" spans="1:19" x14ac:dyDescent="0.2">
      <c r="A4" s="198"/>
      <c r="B4" s="195"/>
      <c r="C4" s="214"/>
      <c r="D4" s="195"/>
      <c r="E4" s="195"/>
      <c r="F4" s="195"/>
      <c r="G4" s="195"/>
      <c r="H4" s="195"/>
      <c r="I4" s="195"/>
      <c r="J4" s="194"/>
      <c r="N4" s="179"/>
    </row>
    <row r="5" spans="1:19" x14ac:dyDescent="0.2">
      <c r="A5" s="198"/>
      <c r="B5" s="195"/>
      <c r="C5" s="222" t="s">
        <v>272</v>
      </c>
      <c r="D5" s="211" t="s">
        <v>133</v>
      </c>
      <c r="E5" s="210" t="s">
        <v>270</v>
      </c>
      <c r="F5" s="195"/>
      <c r="G5" s="195"/>
      <c r="H5" s="195"/>
      <c r="I5" s="195"/>
      <c r="J5" s="194"/>
      <c r="M5" s="229" t="s">
        <v>257</v>
      </c>
    </row>
    <row r="6" spans="1:19" x14ac:dyDescent="0.2">
      <c r="A6" s="198"/>
      <c r="B6" s="195"/>
      <c r="C6" s="218" t="s">
        <v>268</v>
      </c>
      <c r="D6" s="209" t="s">
        <v>267</v>
      </c>
      <c r="E6" s="208" t="s">
        <v>43</v>
      </c>
      <c r="F6" s="195"/>
      <c r="G6" s="195"/>
      <c r="H6" s="195"/>
      <c r="I6" s="195"/>
      <c r="J6" s="194"/>
    </row>
    <row r="7" spans="1:19" x14ac:dyDescent="0.2">
      <c r="A7" s="198"/>
      <c r="B7" s="195"/>
      <c r="C7" s="221">
        <v>2010</v>
      </c>
      <c r="D7" s="220">
        <v>7500</v>
      </c>
      <c r="E7" s="219">
        <v>15000</v>
      </c>
      <c r="F7" s="195"/>
      <c r="G7" s="195"/>
      <c r="H7" s="195"/>
      <c r="I7" s="195"/>
      <c r="J7" s="194"/>
      <c r="M7" s="185" t="s">
        <v>17</v>
      </c>
      <c r="N7" s="183" t="s">
        <v>43</v>
      </c>
      <c r="O7" s="184" t="s">
        <v>251</v>
      </c>
      <c r="P7" s="183" t="s">
        <v>18</v>
      </c>
      <c r="Q7" s="183" t="s">
        <v>250</v>
      </c>
      <c r="R7" s="183" t="s">
        <v>249</v>
      </c>
      <c r="S7" s="183" t="s">
        <v>256</v>
      </c>
    </row>
    <row r="8" spans="1:19" x14ac:dyDescent="0.2">
      <c r="A8" s="198"/>
      <c r="B8" s="195"/>
      <c r="C8" s="221">
        <v>2011</v>
      </c>
      <c r="D8" s="220">
        <v>6000</v>
      </c>
      <c r="E8" s="219">
        <v>15200</v>
      </c>
      <c r="F8" s="195"/>
      <c r="G8" s="195"/>
      <c r="H8" s="195"/>
      <c r="I8" s="195"/>
      <c r="J8" s="194"/>
      <c r="M8" s="182">
        <v>2010</v>
      </c>
      <c r="N8" s="179">
        <f>E7</f>
        <v>15000</v>
      </c>
      <c r="O8" s="179">
        <f>D7</f>
        <v>7500</v>
      </c>
      <c r="P8">
        <v>36</v>
      </c>
      <c r="Q8">
        <f>P8-6</f>
        <v>30</v>
      </c>
      <c r="R8" s="180">
        <f>Q8^($D$16)/($D$17^$D$16+Q8^$D$16)</f>
        <v>0.86318841609108332</v>
      </c>
      <c r="S8" s="179">
        <f>R8*N8</f>
        <v>12947.826241366251</v>
      </c>
    </row>
    <row r="9" spans="1:19" x14ac:dyDescent="0.2">
      <c r="A9" s="198"/>
      <c r="B9" s="195"/>
      <c r="C9" s="218">
        <v>2012</v>
      </c>
      <c r="D9" s="217">
        <v>4500</v>
      </c>
      <c r="E9" s="216">
        <v>15400</v>
      </c>
      <c r="F9" s="195"/>
      <c r="G9" s="195"/>
      <c r="H9" s="195"/>
      <c r="I9" s="195"/>
      <c r="J9" s="194"/>
      <c r="M9" s="182">
        <v>2011</v>
      </c>
      <c r="N9" s="179">
        <f>E8</f>
        <v>15200</v>
      </c>
      <c r="O9" s="179">
        <f>D8</f>
        <v>6000</v>
      </c>
      <c r="P9">
        <v>24</v>
      </c>
      <c r="Q9">
        <f>P9-6</f>
        <v>18</v>
      </c>
      <c r="R9" s="180">
        <f>Q9^($D$16)/($D$17^$D$16+Q9^$D$16)</f>
        <v>0.78420416373573076</v>
      </c>
      <c r="S9" s="179">
        <f>R9*N9</f>
        <v>11919.903288783107</v>
      </c>
    </row>
    <row r="10" spans="1:19" x14ac:dyDescent="0.2">
      <c r="A10" s="198"/>
      <c r="B10" s="214"/>
      <c r="C10" s="215"/>
      <c r="D10" s="215"/>
      <c r="E10" s="215"/>
      <c r="F10" s="215"/>
      <c r="G10" s="195"/>
      <c r="H10" s="195"/>
      <c r="I10" s="195"/>
      <c r="J10" s="194"/>
      <c r="M10" s="182">
        <v>2012</v>
      </c>
      <c r="N10" s="179">
        <f>E9</f>
        <v>15400</v>
      </c>
      <c r="O10" s="179">
        <f>D9</f>
        <v>4500</v>
      </c>
      <c r="P10">
        <v>12</v>
      </c>
      <c r="Q10">
        <f>P10-6</f>
        <v>6</v>
      </c>
      <c r="R10" s="180">
        <f>Q10^($D$16)/($D$17^$D$16+Q10^$D$16)</f>
        <v>0.52593554391637098</v>
      </c>
      <c r="S10" s="179">
        <f>R10*N10</f>
        <v>8099.4073763121132</v>
      </c>
    </row>
    <row r="11" spans="1:19" x14ac:dyDescent="0.2">
      <c r="A11" s="198"/>
      <c r="B11" s="197" t="s">
        <v>264</v>
      </c>
      <c r="C11" s="214"/>
      <c r="D11" s="195"/>
      <c r="E11" s="195"/>
      <c r="F11" s="206"/>
      <c r="G11" s="195"/>
      <c r="H11" s="195"/>
      <c r="I11" s="195"/>
      <c r="J11" s="194"/>
      <c r="S11" s="180"/>
    </row>
    <row r="12" spans="1:19" x14ac:dyDescent="0.2">
      <c r="A12" s="198"/>
      <c r="B12" s="197" t="s">
        <v>263</v>
      </c>
      <c r="C12" s="195"/>
      <c r="D12" s="195"/>
      <c r="E12" s="195"/>
      <c r="F12" s="196"/>
      <c r="G12" s="195"/>
      <c r="H12" s="195"/>
      <c r="I12" s="195"/>
      <c r="J12" s="194"/>
      <c r="M12" t="s">
        <v>253</v>
      </c>
      <c r="N12" s="240">
        <f>SUM(O8:O10)/SUM(S8:S10)</f>
        <v>0.54599827856061256</v>
      </c>
    </row>
    <row r="13" spans="1:19" x14ac:dyDescent="0.2">
      <c r="A13" s="198"/>
      <c r="B13" s="197"/>
      <c r="C13" s="195"/>
      <c r="D13" s="195"/>
      <c r="E13" s="195"/>
      <c r="F13" s="196"/>
      <c r="G13" s="195"/>
      <c r="H13" s="195"/>
      <c r="I13" s="195"/>
      <c r="J13" s="194"/>
      <c r="M13" s="188"/>
      <c r="N13" s="187"/>
    </row>
    <row r="14" spans="1:19" x14ac:dyDescent="0.2">
      <c r="A14" s="198"/>
      <c r="B14" s="197"/>
      <c r="C14" s="212" t="s">
        <v>262</v>
      </c>
      <c r="D14" s="210" t="s">
        <v>261</v>
      </c>
      <c r="E14" s="195"/>
      <c r="F14" s="196"/>
      <c r="G14" s="195"/>
      <c r="H14" s="195"/>
      <c r="I14" s="195"/>
      <c r="J14" s="194"/>
      <c r="M14" s="229" t="s">
        <v>307</v>
      </c>
      <c r="N14" s="187"/>
    </row>
    <row r="15" spans="1:19" x14ac:dyDescent="0.2">
      <c r="A15" s="198"/>
      <c r="B15" s="197"/>
      <c r="C15" s="204" t="s">
        <v>260</v>
      </c>
      <c r="D15" s="208" t="s">
        <v>259</v>
      </c>
      <c r="E15" s="195"/>
      <c r="F15" s="196"/>
      <c r="G15" s="195"/>
      <c r="H15" s="195"/>
      <c r="I15" s="195"/>
      <c r="J15" s="194"/>
      <c r="M15" s="188"/>
      <c r="N15" s="187"/>
    </row>
    <row r="16" spans="1:19" x14ac:dyDescent="0.2">
      <c r="A16" s="198"/>
      <c r="B16" s="197"/>
      <c r="C16" s="207" t="s">
        <v>72</v>
      </c>
      <c r="D16" s="205">
        <v>1.08</v>
      </c>
      <c r="E16" s="195"/>
      <c r="F16" s="196"/>
      <c r="G16" s="195"/>
      <c r="H16" s="195"/>
      <c r="I16" s="195"/>
      <c r="J16" s="194"/>
      <c r="M16" s="185" t="s">
        <v>17</v>
      </c>
      <c r="N16" s="183" t="s">
        <v>46</v>
      </c>
    </row>
    <row r="17" spans="1:20" x14ac:dyDescent="0.2">
      <c r="A17" s="198"/>
      <c r="B17" s="197"/>
      <c r="C17" s="204" t="s">
        <v>71</v>
      </c>
      <c r="D17" s="202">
        <v>5.45</v>
      </c>
      <c r="E17" s="195"/>
      <c r="F17" s="196"/>
      <c r="G17" s="195"/>
      <c r="H17" s="195"/>
      <c r="I17" s="195"/>
      <c r="J17" s="194"/>
      <c r="M17" s="182">
        <v>2010</v>
      </c>
      <c r="N17" s="179">
        <f>N12*N8</f>
        <v>8189.9741784091884</v>
      </c>
    </row>
    <row r="18" spans="1:20" x14ac:dyDescent="0.2">
      <c r="A18" s="198"/>
      <c r="B18" s="197"/>
      <c r="C18" s="195"/>
      <c r="D18" s="195"/>
      <c r="E18" s="195"/>
      <c r="F18" s="196"/>
      <c r="G18" s="195"/>
      <c r="H18" s="195"/>
      <c r="I18" s="195"/>
      <c r="J18" s="194"/>
      <c r="M18" s="182">
        <v>2011</v>
      </c>
      <c r="N18" s="179">
        <f>N9*N12</f>
        <v>8299.1738341213113</v>
      </c>
    </row>
    <row r="19" spans="1:20" x14ac:dyDescent="0.2">
      <c r="A19" s="198"/>
      <c r="B19" s="199" t="s">
        <v>306</v>
      </c>
      <c r="C19" s="195"/>
      <c r="D19" s="247">
        <v>0.06</v>
      </c>
      <c r="E19" s="195"/>
      <c r="F19" s="196"/>
      <c r="G19" s="195"/>
      <c r="H19" s="195"/>
      <c r="I19" s="195"/>
      <c r="J19" s="194"/>
      <c r="M19" s="182">
        <v>2012</v>
      </c>
      <c r="N19" s="179">
        <f>N10*N12</f>
        <v>8408.3734898334333</v>
      </c>
    </row>
    <row r="20" spans="1:20" x14ac:dyDescent="0.2">
      <c r="A20" s="198"/>
      <c r="B20" s="199" t="s">
        <v>305</v>
      </c>
      <c r="C20" s="195"/>
      <c r="D20" s="214">
        <v>200</v>
      </c>
      <c r="E20" s="195"/>
      <c r="F20" s="196"/>
      <c r="G20" s="195"/>
      <c r="H20" s="195"/>
      <c r="I20" s="195"/>
      <c r="J20" s="194"/>
    </row>
    <row r="21" spans="1:20" x14ac:dyDescent="0.2">
      <c r="A21" s="198"/>
      <c r="B21" s="197"/>
      <c r="C21" s="195"/>
      <c r="D21" s="195"/>
      <c r="E21" s="195"/>
      <c r="F21" s="196"/>
      <c r="G21" s="195"/>
      <c r="H21" s="195"/>
      <c r="I21" s="195"/>
      <c r="J21" s="194"/>
      <c r="M21" t="s">
        <v>304</v>
      </c>
    </row>
    <row r="22" spans="1:20" x14ac:dyDescent="0.2">
      <c r="A22" s="198"/>
      <c r="B22" s="199" t="s">
        <v>0</v>
      </c>
      <c r="C22" s="195"/>
      <c r="D22" s="195"/>
      <c r="E22" s="195"/>
      <c r="F22" s="196"/>
      <c r="G22" s="195"/>
      <c r="H22" s="195"/>
      <c r="I22" s="195"/>
      <c r="J22" s="194"/>
    </row>
    <row r="23" spans="1:20" x14ac:dyDescent="0.2">
      <c r="A23" s="198"/>
      <c r="B23" s="246" t="s">
        <v>303</v>
      </c>
      <c r="C23" s="246"/>
      <c r="D23" s="246"/>
      <c r="E23" s="246"/>
      <c r="F23" s="246"/>
      <c r="G23" s="246"/>
      <c r="H23" s="246"/>
      <c r="I23" s="246"/>
      <c r="J23" s="194"/>
      <c r="M23" s="229" t="s">
        <v>302</v>
      </c>
      <c r="R23" s="180"/>
    </row>
    <row r="24" spans="1:20" x14ac:dyDescent="0.2">
      <c r="A24" s="198"/>
      <c r="B24" s="246"/>
      <c r="C24" s="246"/>
      <c r="D24" s="246"/>
      <c r="E24" s="246"/>
      <c r="F24" s="246"/>
      <c r="G24" s="246"/>
      <c r="H24" s="246"/>
      <c r="I24" s="246"/>
      <c r="J24" s="194"/>
      <c r="N24" s="179"/>
      <c r="R24" s="180"/>
      <c r="S24" s="180"/>
      <c r="T24" s="228"/>
    </row>
    <row r="25" spans="1:20" x14ac:dyDescent="0.2">
      <c r="A25" s="198"/>
      <c r="B25" s="200"/>
      <c r="C25" s="195"/>
      <c r="D25" s="195"/>
      <c r="E25" s="195"/>
      <c r="F25" s="196"/>
      <c r="G25" s="195"/>
      <c r="H25" s="195"/>
      <c r="I25" s="195"/>
      <c r="J25" s="194"/>
      <c r="M25" s="185" t="s">
        <v>18</v>
      </c>
      <c r="N25" s="241" t="s">
        <v>250</v>
      </c>
      <c r="O25" s="244" t="s">
        <v>249</v>
      </c>
      <c r="P25" s="183" t="s">
        <v>298</v>
      </c>
      <c r="R25" s="180"/>
      <c r="S25" s="180"/>
      <c r="T25" s="228"/>
    </row>
    <row r="26" spans="1:20" x14ac:dyDescent="0.2">
      <c r="A26" s="198"/>
      <c r="B26" s="199" t="s">
        <v>1</v>
      </c>
      <c r="C26" s="195"/>
      <c r="D26" s="195"/>
      <c r="E26" s="195"/>
      <c r="F26" s="196"/>
      <c r="G26" s="195"/>
      <c r="H26" s="195"/>
      <c r="I26" s="195"/>
      <c r="J26" s="194"/>
      <c r="M26" s="182">
        <v>60</v>
      </c>
      <c r="N26" s="178">
        <f>M26-6</f>
        <v>54</v>
      </c>
      <c r="O26" s="243">
        <f>N26^($D$16)/($D$17^$D$16+N26^$D$16)</f>
        <v>0.92250203564314082</v>
      </c>
      <c r="P26" s="179">
        <f>N17*(O26-O27)/(1+D19)^1.5</f>
        <v>163.35127622272242</v>
      </c>
      <c r="R26" s="180"/>
      <c r="S26" s="180"/>
      <c r="T26" s="228"/>
    </row>
    <row r="27" spans="1:20" x14ac:dyDescent="0.2">
      <c r="A27" s="198"/>
      <c r="B27" s="195" t="s">
        <v>301</v>
      </c>
      <c r="C27" s="195"/>
      <c r="D27" s="195"/>
      <c r="E27" s="195"/>
      <c r="F27" s="196"/>
      <c r="G27" s="195"/>
      <c r="H27" s="195"/>
      <c r="I27" s="195"/>
      <c r="J27" s="194"/>
      <c r="M27" s="182">
        <v>48</v>
      </c>
      <c r="N27" s="178">
        <f>M27-6</f>
        <v>42</v>
      </c>
      <c r="O27" s="243">
        <f>N27^($D$16)/($D$17^$D$16+N27^$D$16)</f>
        <v>0.90073502461727128</v>
      </c>
      <c r="P27" s="179">
        <f>N17*(O27-O28)/(1+D19)^0.5</f>
        <v>298.67599176094564</v>
      </c>
    </row>
    <row r="28" spans="1:20" ht="17" thickBot="1" x14ac:dyDescent="0.25">
      <c r="A28" s="198"/>
      <c r="B28" s="245"/>
      <c r="C28" s="195"/>
      <c r="D28" s="195"/>
      <c r="E28" s="195"/>
      <c r="F28" s="196"/>
      <c r="G28" s="195"/>
      <c r="H28" s="195"/>
      <c r="I28" s="195"/>
      <c r="J28" s="194"/>
      <c r="M28" s="182">
        <v>36</v>
      </c>
      <c r="N28" s="178">
        <f>M28-6</f>
        <v>30</v>
      </c>
      <c r="O28" s="243">
        <f>N28^($D$16)/($D$17^$D$16+N28^$D$16)</f>
        <v>0.86318841609108332</v>
      </c>
    </row>
    <row r="29" spans="1:20" ht="17" thickBot="1" x14ac:dyDescent="0.25">
      <c r="A29" s="192" t="s">
        <v>176</v>
      </c>
      <c r="B29" s="190"/>
      <c r="C29" s="190"/>
      <c r="D29" s="190"/>
      <c r="E29" s="190"/>
      <c r="F29" s="190"/>
      <c r="G29" s="190"/>
      <c r="H29" s="190"/>
      <c r="I29" s="190"/>
      <c r="J29" s="189"/>
      <c r="N29" s="179"/>
      <c r="R29" s="180"/>
      <c r="S29" s="228"/>
    </row>
    <row r="30" spans="1:20" x14ac:dyDescent="0.2">
      <c r="O30" t="s">
        <v>295</v>
      </c>
      <c r="P30" s="179">
        <f>SUM(P26:P27)</f>
        <v>462.02726798366803</v>
      </c>
      <c r="S30" s="180"/>
    </row>
    <row r="31" spans="1:20" x14ac:dyDescent="0.2">
      <c r="N31" s="240"/>
    </row>
    <row r="32" spans="1:20" x14ac:dyDescent="0.2">
      <c r="M32" s="229" t="s">
        <v>300</v>
      </c>
    </row>
    <row r="33" spans="13:20" x14ac:dyDescent="0.2">
      <c r="N33" s="179"/>
      <c r="R33" s="180"/>
    </row>
    <row r="34" spans="13:20" x14ac:dyDescent="0.2">
      <c r="M34" s="185" t="s">
        <v>18</v>
      </c>
      <c r="N34" s="241" t="s">
        <v>250</v>
      </c>
      <c r="O34" s="244" t="s">
        <v>249</v>
      </c>
      <c r="P34" s="183" t="s">
        <v>298</v>
      </c>
      <c r="R34" s="180"/>
      <c r="S34" s="180"/>
      <c r="T34" s="228"/>
    </row>
    <row r="35" spans="13:20" x14ac:dyDescent="0.2">
      <c r="M35" s="182">
        <v>60</v>
      </c>
      <c r="N35" s="178">
        <f>M35-6</f>
        <v>54</v>
      </c>
      <c r="O35" s="243">
        <f>N35^($D$16)/($D$17^$D$16+N35^$D$16)</f>
        <v>0.92250203564314082</v>
      </c>
      <c r="P35" s="179">
        <f>$N$18*(O35-O36)/(1+$D$19)^2.5</f>
        <v>156.15971060285415</v>
      </c>
      <c r="R35" s="180"/>
      <c r="S35" s="180"/>
      <c r="T35" s="228"/>
    </row>
    <row r="36" spans="13:20" x14ac:dyDescent="0.2">
      <c r="M36" s="182">
        <v>48</v>
      </c>
      <c r="N36" s="178">
        <f>M36-6</f>
        <v>42</v>
      </c>
      <c r="O36" s="243">
        <f>N36^($D$16)/($D$17^$D$16+N36^$D$16)</f>
        <v>0.90073502461727128</v>
      </c>
      <c r="P36" s="179">
        <f>$N$18*(O36-O37)/(1+$D$19)^1.5</f>
        <v>285.52673426203609</v>
      </c>
      <c r="R36" s="180"/>
      <c r="S36" s="180"/>
      <c r="T36" s="228"/>
    </row>
    <row r="37" spans="13:20" x14ac:dyDescent="0.2">
      <c r="M37" s="182">
        <v>36</v>
      </c>
      <c r="N37" s="178">
        <f>M37-6</f>
        <v>30</v>
      </c>
      <c r="O37" s="243">
        <f>N37^($D$16)/($D$17^$D$16+N37^$D$16)</f>
        <v>0.86318841609108332</v>
      </c>
      <c r="P37" s="179">
        <f>$N$18*(O37-O38)/(1+$D$19)^0.5</f>
        <v>636.6818072121772</v>
      </c>
    </row>
    <row r="38" spans="13:20" x14ac:dyDescent="0.2">
      <c r="M38" s="182">
        <v>24</v>
      </c>
      <c r="N38" s="178">
        <f>M38-6</f>
        <v>18</v>
      </c>
      <c r="O38" s="243">
        <f>N38^($D$16)/($D$17^$D$16+N38^$D$16)</f>
        <v>0.78420416373573076</v>
      </c>
    </row>
    <row r="40" spans="13:20" x14ac:dyDescent="0.2">
      <c r="O40" t="s">
        <v>295</v>
      </c>
      <c r="P40" s="179">
        <f>SUM(P35:P37)</f>
        <v>1078.3682520770674</v>
      </c>
    </row>
    <row r="42" spans="13:20" x14ac:dyDescent="0.2">
      <c r="M42" s="229" t="s">
        <v>299</v>
      </c>
    </row>
    <row r="43" spans="13:20" x14ac:dyDescent="0.2">
      <c r="N43" s="179"/>
    </row>
    <row r="44" spans="13:20" x14ac:dyDescent="0.2">
      <c r="M44" s="185" t="s">
        <v>18</v>
      </c>
      <c r="N44" s="241" t="s">
        <v>250</v>
      </c>
      <c r="O44" s="244" t="s">
        <v>249</v>
      </c>
      <c r="P44" s="183" t="s">
        <v>298</v>
      </c>
    </row>
    <row r="45" spans="13:20" x14ac:dyDescent="0.2">
      <c r="M45" s="182">
        <v>60</v>
      </c>
      <c r="N45" s="178">
        <f>M45-6</f>
        <v>54</v>
      </c>
      <c r="O45" s="243">
        <f>N45^($D$16)/($D$17^$D$16+N45^$D$16)</f>
        <v>0.92250203564314082</v>
      </c>
      <c r="P45" s="179">
        <f>$N$19*(O45-O46)/(1+$D$19)^3.5</f>
        <v>149.25890909160589</v>
      </c>
    </row>
    <row r="46" spans="13:20" x14ac:dyDescent="0.2">
      <c r="M46" s="182">
        <v>48</v>
      </c>
      <c r="N46" s="178">
        <f>M46-6</f>
        <v>42</v>
      </c>
      <c r="O46" s="243">
        <f>N46^($D$16)/($D$17^$D$16+N46^$D$16)</f>
        <v>0.90073502461727128</v>
      </c>
      <c r="P46" s="179">
        <f>$N$19*(O46-O47)/(1+$D$19)^2.5</f>
        <v>272.90911790189642</v>
      </c>
    </row>
    <row r="47" spans="13:20" x14ac:dyDescent="0.2">
      <c r="M47" s="182">
        <v>36</v>
      </c>
      <c r="N47" s="178">
        <f>M47-6</f>
        <v>30</v>
      </c>
      <c r="O47" s="243">
        <f>N47^($D$16)/($D$17^$D$16+N47^$D$16)</f>
        <v>0.86318841609108332</v>
      </c>
      <c r="P47" s="179">
        <f>$N$19*(O47-O48)/(1+$D$19)^1.5</f>
        <v>608.54641453994066</v>
      </c>
    </row>
    <row r="48" spans="13:20" x14ac:dyDescent="0.2">
      <c r="M48" s="182">
        <v>24</v>
      </c>
      <c r="N48" s="178">
        <f>M48-6</f>
        <v>18</v>
      </c>
      <c r="O48" s="243">
        <f>N48^($D$16)/($D$17^$D$16+N48^$D$16)</f>
        <v>0.78420416373573076</v>
      </c>
      <c r="P48" s="179">
        <f>$N$19*(O48-O49)/(1+$D$19)^0.5</f>
        <v>2109.2628488078053</v>
      </c>
    </row>
    <row r="49" spans="13:16" x14ac:dyDescent="0.2">
      <c r="M49" s="182">
        <v>12</v>
      </c>
      <c r="N49" s="178">
        <f>M49-6</f>
        <v>6</v>
      </c>
      <c r="O49" s="243">
        <f>N49^($D$16)/($D$17^$D$16+N49^$D$16)</f>
        <v>0.52593554391637098</v>
      </c>
    </row>
    <row r="50" spans="13:16" x14ac:dyDescent="0.2">
      <c r="M50" s="178"/>
      <c r="N50" s="178"/>
    </row>
    <row r="51" spans="13:16" x14ac:dyDescent="0.2">
      <c r="O51" t="s">
        <v>295</v>
      </c>
      <c r="P51" s="179">
        <f>SUM(P45:P48)</f>
        <v>3139.9772903412481</v>
      </c>
    </row>
    <row r="52" spans="13:16" ht="17" thickBot="1" x14ac:dyDescent="0.25"/>
    <row r="53" spans="13:16" ht="17" thickBot="1" x14ac:dyDescent="0.25">
      <c r="M53" s="177" t="s">
        <v>297</v>
      </c>
      <c r="N53" s="242"/>
      <c r="O53" s="176">
        <f>P30+P40+P51</f>
        <v>4680.3728104019838</v>
      </c>
    </row>
    <row r="55" spans="13:16" x14ac:dyDescent="0.2">
      <c r="M55" s="188" t="s">
        <v>258</v>
      </c>
    </row>
    <row r="57" spans="13:16" x14ac:dyDescent="0.2">
      <c r="M57" s="185" t="s">
        <v>18</v>
      </c>
      <c r="N57" s="241" t="s">
        <v>250</v>
      </c>
      <c r="O57" s="183" t="s">
        <v>249</v>
      </c>
      <c r="P57" s="183" t="s">
        <v>296</v>
      </c>
    </row>
    <row r="58" spans="13:16" x14ac:dyDescent="0.2">
      <c r="M58" s="182">
        <v>60</v>
      </c>
      <c r="N58" s="178">
        <f>M58-6</f>
        <v>54</v>
      </c>
      <c r="O58" s="180">
        <f>N58^($D$16)/($D$17^$D$16+N58^$D$16)</f>
        <v>0.92250203564314082</v>
      </c>
      <c r="P58" s="179">
        <f>$N$18*(O58-O59)/(1+$D$19)^(2*3-1)</f>
        <v>134.9908501053346</v>
      </c>
    </row>
    <row r="59" spans="13:16" x14ac:dyDescent="0.2">
      <c r="M59" s="182">
        <v>48</v>
      </c>
      <c r="N59" s="178">
        <f>M59-6</f>
        <v>42</v>
      </c>
      <c r="O59" s="180">
        <f>N59^($D$16)/($D$17^$D$16+N59^$D$16)</f>
        <v>0.90073502461727128</v>
      </c>
      <c r="P59" s="179">
        <f>$N$18*(O59-O60)/(1+$D$19)^(2*2-1)</f>
        <v>261.63026444693878</v>
      </c>
    </row>
    <row r="60" spans="13:16" x14ac:dyDescent="0.2">
      <c r="M60" s="182">
        <v>36</v>
      </c>
      <c r="N60" s="178">
        <f>M60-6</f>
        <v>30</v>
      </c>
      <c r="O60" s="180">
        <f>N60^($D$16)/($D$17^$D$16+N60^$D$16)</f>
        <v>0.86318841609108332</v>
      </c>
      <c r="P60" s="179">
        <f>$N$18*(O60-O61)/(1+$D$19)^(2*1-1)</f>
        <v>618.40003816526087</v>
      </c>
    </row>
    <row r="61" spans="13:16" x14ac:dyDescent="0.2">
      <c r="M61" s="182">
        <v>24</v>
      </c>
      <c r="N61" s="178">
        <f>M61-6</f>
        <v>18</v>
      </c>
      <c r="O61" s="180">
        <f>N61^($D$16)/($D$17^$D$16+N61^$D$16)</f>
        <v>0.78420416373573076</v>
      </c>
    </row>
    <row r="63" spans="13:16" x14ac:dyDescent="0.2">
      <c r="O63" t="s">
        <v>295</v>
      </c>
      <c r="P63" s="179">
        <f>SUM(P58:P60)</f>
        <v>1015.0211527175343</v>
      </c>
    </row>
    <row r="64" spans="13:16" ht="17" thickBot="1" x14ac:dyDescent="0.25"/>
    <row r="65" spans="13:20" ht="17" thickBot="1" x14ac:dyDescent="0.25">
      <c r="M65" s="177" t="s">
        <v>285</v>
      </c>
      <c r="N65" s="213">
        <f>SQRT(D20*P63)</f>
        <v>450.559907829699</v>
      </c>
    </row>
    <row r="68" spans="13:20" ht="19" x14ac:dyDescent="0.25">
      <c r="M68" s="174" t="s">
        <v>129</v>
      </c>
    </row>
    <row r="69" spans="13:20" x14ac:dyDescent="0.2">
      <c r="M69" s="155" t="s">
        <v>294</v>
      </c>
      <c r="N69" s="155"/>
      <c r="O69" s="155"/>
      <c r="P69" s="155"/>
      <c r="Q69" s="155"/>
      <c r="R69" s="155"/>
      <c r="S69" s="155"/>
      <c r="T69" s="155"/>
    </row>
    <row r="70" spans="13:20" x14ac:dyDescent="0.2">
      <c r="M70" s="155"/>
      <c r="N70" s="155"/>
      <c r="O70" s="155"/>
      <c r="P70" s="155"/>
      <c r="Q70" s="155"/>
      <c r="R70" s="155"/>
      <c r="S70" s="155"/>
      <c r="T70" s="155"/>
    </row>
    <row r="71" spans="13:20" x14ac:dyDescent="0.2">
      <c r="M71" s="155"/>
      <c r="N71" s="155"/>
      <c r="O71" s="155"/>
      <c r="P71" s="155"/>
      <c r="Q71" s="155"/>
      <c r="R71" s="155"/>
      <c r="S71" s="155"/>
      <c r="T71" s="155"/>
    </row>
  </sheetData>
  <mergeCells count="2">
    <mergeCell ref="B23:I24"/>
    <mergeCell ref="M69:T7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72396-F710-C54A-A5F5-D10C7A7B79CE}">
  <dimension ref="A1:T61"/>
  <sheetViews>
    <sheetView workbookViewId="0"/>
  </sheetViews>
  <sheetFormatPr baseColWidth="10" defaultColWidth="11" defaultRowHeight="16" outlineLevelCol="1" x14ac:dyDescent="0.2"/>
  <cols>
    <col min="1" max="1" width="4.5" customWidth="1"/>
    <col min="3" max="10" width="10.83203125" customWidth="1"/>
    <col min="12" max="12" width="11.1640625" bestFit="1" customWidth="1"/>
    <col min="13" max="13" width="20.83203125" hidden="1" customWidth="1" outlineLevel="1"/>
    <col min="14" max="19" width="10.83203125" hidden="1" customWidth="1" outlineLevel="1"/>
    <col min="20" max="20" width="10.83203125" customWidth="1" collapsed="1"/>
    <col min="21" max="21" width="10.83203125" customWidth="1"/>
  </cols>
  <sheetData>
    <row r="1" spans="1:19" ht="19" x14ac:dyDescent="0.25">
      <c r="A1" s="227" t="s">
        <v>337</v>
      </c>
      <c r="B1" s="226"/>
      <c r="C1" s="225"/>
      <c r="D1" s="225"/>
      <c r="E1" s="225"/>
      <c r="F1" s="224"/>
      <c r="G1" s="224"/>
      <c r="H1" s="224"/>
      <c r="I1" s="224"/>
      <c r="J1" s="223"/>
      <c r="L1" s="174" t="s">
        <v>177</v>
      </c>
    </row>
    <row r="2" spans="1:19" x14ac:dyDescent="0.2">
      <c r="A2" s="198"/>
      <c r="B2" s="195"/>
      <c r="C2" s="195"/>
      <c r="D2" s="195"/>
      <c r="E2" s="195"/>
      <c r="F2" s="195"/>
      <c r="G2" s="195"/>
      <c r="H2" s="195"/>
      <c r="I2" s="195"/>
      <c r="J2" s="194"/>
    </row>
    <row r="3" spans="1:19" x14ac:dyDescent="0.2">
      <c r="A3" s="198"/>
      <c r="B3" s="195" t="s">
        <v>336</v>
      </c>
      <c r="C3" s="214"/>
      <c r="D3" s="195"/>
      <c r="E3" s="195"/>
      <c r="F3" s="195"/>
      <c r="G3" s="195"/>
      <c r="H3" s="195"/>
      <c r="I3" s="195"/>
      <c r="J3" s="194"/>
      <c r="M3" s="188" t="s">
        <v>273</v>
      </c>
      <c r="N3" s="181"/>
    </row>
    <row r="4" spans="1:19" x14ac:dyDescent="0.2">
      <c r="A4" s="198"/>
      <c r="B4" s="195"/>
      <c r="C4" s="214"/>
      <c r="D4" s="195"/>
      <c r="E4" s="195"/>
      <c r="F4" s="195"/>
      <c r="G4" s="195"/>
      <c r="H4" s="195"/>
      <c r="I4" s="195"/>
      <c r="J4" s="194"/>
      <c r="N4" s="179"/>
    </row>
    <row r="5" spans="1:19" x14ac:dyDescent="0.2">
      <c r="A5" s="198"/>
      <c r="B5" s="195"/>
      <c r="C5" s="276" t="s">
        <v>17</v>
      </c>
      <c r="D5" s="275" t="s">
        <v>335</v>
      </c>
      <c r="E5" s="274"/>
      <c r="F5" s="280"/>
      <c r="G5" s="196"/>
      <c r="H5" s="195"/>
      <c r="I5" s="195"/>
      <c r="J5" s="194"/>
      <c r="M5" s="229" t="s">
        <v>328</v>
      </c>
    </row>
    <row r="6" spans="1:19" x14ac:dyDescent="0.2">
      <c r="A6" s="198"/>
      <c r="B6" s="195"/>
      <c r="C6" s="272"/>
      <c r="D6" s="270" t="s">
        <v>326</v>
      </c>
      <c r="E6" s="270" t="s">
        <v>325</v>
      </c>
      <c r="F6" s="279" t="s">
        <v>324</v>
      </c>
      <c r="G6" s="196"/>
      <c r="H6" s="195"/>
      <c r="I6" s="195"/>
      <c r="J6" s="194"/>
    </row>
    <row r="7" spans="1:19" x14ac:dyDescent="0.2">
      <c r="A7" s="198"/>
      <c r="B7" s="195"/>
      <c r="C7" s="207">
        <v>2010</v>
      </c>
      <c r="D7" s="215">
        <v>10000</v>
      </c>
      <c r="E7" s="215">
        <v>6500</v>
      </c>
      <c r="F7" s="268">
        <v>1000</v>
      </c>
      <c r="G7" s="195"/>
      <c r="H7" s="195"/>
      <c r="I7" s="195"/>
      <c r="J7" s="194"/>
      <c r="M7" s="185" t="s">
        <v>17</v>
      </c>
      <c r="N7" s="183" t="s">
        <v>326</v>
      </c>
      <c r="O7" s="183" t="s">
        <v>325</v>
      </c>
      <c r="P7" s="183" t="s">
        <v>324</v>
      </c>
    </row>
    <row r="8" spans="1:19" x14ac:dyDescent="0.2">
      <c r="A8" s="198"/>
      <c r="B8" s="195"/>
      <c r="C8" s="207">
        <v>2011</v>
      </c>
      <c r="D8" s="215">
        <v>10500</v>
      </c>
      <c r="E8" s="215">
        <v>5500</v>
      </c>
      <c r="F8" s="219"/>
      <c r="G8" s="206"/>
      <c r="H8" s="195"/>
      <c r="I8" s="195"/>
      <c r="J8" s="194"/>
      <c r="M8" s="182">
        <v>2010</v>
      </c>
      <c r="N8" s="260">
        <f>(D7-D13)^2/D13</f>
        <v>41.223764419019041</v>
      </c>
      <c r="O8" s="260">
        <f>(E7-E13)^2/E13</f>
        <v>158.55439669124257</v>
      </c>
      <c r="P8" s="260">
        <f>(F7-F13)^2/F13</f>
        <v>59.699059561128529</v>
      </c>
    </row>
    <row r="9" spans="1:19" x14ac:dyDescent="0.2">
      <c r="A9" s="198"/>
      <c r="B9" s="195"/>
      <c r="C9" s="204">
        <v>2012</v>
      </c>
      <c r="D9" s="278">
        <v>11000</v>
      </c>
      <c r="E9" s="209"/>
      <c r="F9" s="208"/>
      <c r="G9" s="196"/>
      <c r="H9" s="195"/>
      <c r="I9" s="195"/>
      <c r="J9" s="194"/>
      <c r="M9" s="182">
        <v>2011</v>
      </c>
      <c r="N9" s="260">
        <f>(D8-D14)^2/D14</f>
        <v>2.4343856979840244E-2</v>
      </c>
      <c r="O9" s="260">
        <f>(E8-E14)^2/E14</f>
        <v>4.6681254558716266E-2</v>
      </c>
      <c r="P9" s="260"/>
    </row>
    <row r="10" spans="1:19" x14ac:dyDescent="0.2">
      <c r="A10" s="198"/>
      <c r="B10" s="195"/>
      <c r="C10" s="200"/>
      <c r="D10" s="195"/>
      <c r="E10" s="195"/>
      <c r="F10" s="195"/>
      <c r="G10" s="196"/>
      <c r="H10" s="195"/>
      <c r="I10" s="195"/>
      <c r="J10" s="194"/>
      <c r="M10" s="182">
        <v>2012</v>
      </c>
      <c r="N10" s="260">
        <f>(D9-D15)^2/D15</f>
        <v>0</v>
      </c>
      <c r="O10" s="260"/>
      <c r="P10" s="260"/>
    </row>
    <row r="11" spans="1:19" x14ac:dyDescent="0.2">
      <c r="A11" s="198"/>
      <c r="B11" s="195"/>
      <c r="C11" s="276" t="s">
        <v>17</v>
      </c>
      <c r="D11" s="275" t="s">
        <v>334</v>
      </c>
      <c r="E11" s="274"/>
      <c r="F11" s="274"/>
      <c r="G11" s="273" t="s">
        <v>247</v>
      </c>
      <c r="H11" s="195"/>
      <c r="I11" s="195"/>
      <c r="J11" s="194"/>
      <c r="Q11" s="178"/>
      <c r="R11" s="178"/>
      <c r="S11" s="178"/>
    </row>
    <row r="12" spans="1:19" x14ac:dyDescent="0.2">
      <c r="A12" s="198"/>
      <c r="B12" s="195"/>
      <c r="C12" s="272"/>
      <c r="D12" s="271" t="s">
        <v>326</v>
      </c>
      <c r="E12" s="270" t="s">
        <v>325</v>
      </c>
      <c r="F12" s="270" t="s">
        <v>324</v>
      </c>
      <c r="G12" s="269"/>
      <c r="H12" s="195"/>
      <c r="I12" s="195"/>
      <c r="J12" s="194"/>
      <c r="M12" s="252" t="s">
        <v>321</v>
      </c>
      <c r="N12" s="255"/>
      <c r="O12" s="255"/>
      <c r="P12" s="255"/>
      <c r="Q12" s="255"/>
      <c r="R12" s="255"/>
      <c r="S12" s="255"/>
    </row>
    <row r="13" spans="1:19" x14ac:dyDescent="0.2">
      <c r="A13" s="198"/>
      <c r="B13" s="195"/>
      <c r="C13" s="266">
        <v>2010</v>
      </c>
      <c r="D13" s="265">
        <v>10663</v>
      </c>
      <c r="E13" s="215">
        <v>5561</v>
      </c>
      <c r="F13" s="268">
        <v>1276</v>
      </c>
      <c r="G13" s="267">
        <v>1424</v>
      </c>
      <c r="H13" s="195"/>
      <c r="I13" s="195"/>
      <c r="J13" s="194"/>
      <c r="M13" s="188"/>
      <c r="N13" s="258"/>
      <c r="O13" s="255"/>
      <c r="P13" s="255"/>
      <c r="Q13" s="255"/>
      <c r="R13" s="255"/>
      <c r="S13" s="255"/>
    </row>
    <row r="14" spans="1:19" x14ac:dyDescent="0.2">
      <c r="A14" s="198"/>
      <c r="B14" s="195"/>
      <c r="C14" s="266">
        <v>2011</v>
      </c>
      <c r="D14" s="265">
        <v>10516</v>
      </c>
      <c r="E14" s="215">
        <v>5484</v>
      </c>
      <c r="F14" s="219"/>
      <c r="G14" s="264">
        <v>2663</v>
      </c>
      <c r="H14" s="195"/>
      <c r="I14" s="195"/>
      <c r="J14" s="194"/>
      <c r="M14" s="178" t="s">
        <v>228</v>
      </c>
      <c r="N14" s="277">
        <v>6</v>
      </c>
      <c r="O14" s="256" t="s">
        <v>320</v>
      </c>
      <c r="P14" s="255"/>
      <c r="Q14" s="255"/>
      <c r="R14" s="255"/>
      <c r="S14" s="255"/>
    </row>
    <row r="15" spans="1:19" x14ac:dyDescent="0.2">
      <c r="A15" s="198"/>
      <c r="B15" s="195"/>
      <c r="C15" s="263">
        <v>2012</v>
      </c>
      <c r="D15" s="262">
        <v>11000</v>
      </c>
      <c r="E15" s="209"/>
      <c r="F15" s="208"/>
      <c r="G15" s="261">
        <v>8522</v>
      </c>
      <c r="H15" s="195"/>
      <c r="I15" s="195"/>
      <c r="J15" s="194"/>
      <c r="M15" s="178" t="s">
        <v>229</v>
      </c>
      <c r="N15" s="277">
        <v>5</v>
      </c>
      <c r="O15" s="256" t="s">
        <v>333</v>
      </c>
      <c r="P15" s="255"/>
      <c r="Q15" s="255"/>
      <c r="R15" s="255"/>
      <c r="S15" s="255"/>
    </row>
    <row r="16" spans="1:19" x14ac:dyDescent="0.2">
      <c r="A16" s="198"/>
      <c r="B16" s="195"/>
      <c r="C16" s="195"/>
      <c r="D16" s="195"/>
      <c r="E16" s="195"/>
      <c r="F16" s="195"/>
      <c r="G16" s="195"/>
      <c r="H16" s="195"/>
      <c r="I16" s="195"/>
      <c r="J16" s="194"/>
      <c r="M16" s="178"/>
      <c r="N16" s="255"/>
      <c r="O16" s="255"/>
      <c r="P16" s="255"/>
      <c r="Q16" s="255"/>
      <c r="R16" s="255"/>
      <c r="S16" s="255"/>
    </row>
    <row r="17" spans="1:19" x14ac:dyDescent="0.2">
      <c r="A17" s="198"/>
      <c r="B17" s="195"/>
      <c r="C17" s="276" t="s">
        <v>17</v>
      </c>
      <c r="D17" s="275" t="s">
        <v>332</v>
      </c>
      <c r="E17" s="274"/>
      <c r="F17" s="274"/>
      <c r="G17" s="273" t="s">
        <v>247</v>
      </c>
      <c r="H17" s="195"/>
      <c r="I17" s="195"/>
      <c r="J17" s="194"/>
      <c r="M17" s="252" t="s">
        <v>318</v>
      </c>
      <c r="N17" s="181">
        <f>SUM(N8:P10)</f>
        <v>259.54824578292869</v>
      </c>
    </row>
    <row r="18" spans="1:19" x14ac:dyDescent="0.2">
      <c r="A18" s="198"/>
      <c r="B18" s="195"/>
      <c r="C18" s="272"/>
      <c r="D18" s="271" t="s">
        <v>326</v>
      </c>
      <c r="E18" s="270" t="s">
        <v>325</v>
      </c>
      <c r="F18" s="270" t="s">
        <v>324</v>
      </c>
      <c r="G18" s="269"/>
      <c r="H18" s="195"/>
      <c r="I18" s="195"/>
      <c r="J18" s="194"/>
      <c r="M18" s="252" t="s">
        <v>317</v>
      </c>
      <c r="N18" s="181">
        <f>1/(N14-N15)*N17</f>
        <v>259.54824578292869</v>
      </c>
      <c r="O18" t="s">
        <v>316</v>
      </c>
    </row>
    <row r="19" spans="1:19" x14ac:dyDescent="0.2">
      <c r="A19" s="198"/>
      <c r="B19" s="195"/>
      <c r="C19" s="266">
        <v>2010</v>
      </c>
      <c r="D19" s="265">
        <v>10397</v>
      </c>
      <c r="E19" s="215">
        <v>5422</v>
      </c>
      <c r="F19" s="268">
        <v>1244</v>
      </c>
      <c r="G19" s="267">
        <v>1389</v>
      </c>
      <c r="H19" s="195"/>
      <c r="I19" s="195"/>
      <c r="J19" s="194"/>
      <c r="N19" s="248"/>
    </row>
    <row r="20" spans="1:19" x14ac:dyDescent="0.2">
      <c r="A20" s="198"/>
      <c r="B20" s="195"/>
      <c r="C20" s="266">
        <v>2011</v>
      </c>
      <c r="D20" s="265">
        <v>10744</v>
      </c>
      <c r="E20" s="215">
        <v>5603</v>
      </c>
      <c r="F20" s="219"/>
      <c r="G20" s="264">
        <v>2720</v>
      </c>
      <c r="H20" s="195"/>
      <c r="I20" s="195"/>
      <c r="J20" s="194"/>
      <c r="M20" s="252" t="s">
        <v>286</v>
      </c>
      <c r="N20" s="254">
        <f>N18*SUM(G13:G15)</f>
        <v>3272643.831076948</v>
      </c>
      <c r="O20" t="s">
        <v>315</v>
      </c>
    </row>
    <row r="21" spans="1:19" x14ac:dyDescent="0.2">
      <c r="A21" s="198"/>
      <c r="B21" s="195"/>
      <c r="C21" s="263">
        <v>2012</v>
      </c>
      <c r="D21" s="262">
        <v>11090</v>
      </c>
      <c r="E21" s="209"/>
      <c r="F21" s="208"/>
      <c r="G21" s="261">
        <v>8592</v>
      </c>
      <c r="H21" s="195"/>
      <c r="I21" s="195"/>
      <c r="J21" s="194"/>
      <c r="M21" s="252" t="s">
        <v>314</v>
      </c>
      <c r="N21" s="253">
        <f>N20+E24</f>
        <v>9272643.831076948</v>
      </c>
    </row>
    <row r="22" spans="1:19" ht="17" thickBot="1" x14ac:dyDescent="0.25">
      <c r="A22" s="198"/>
      <c r="B22" s="195"/>
      <c r="C22" s="195"/>
      <c r="D22" s="195"/>
      <c r="E22" s="195"/>
      <c r="F22" s="195"/>
      <c r="G22" s="195"/>
      <c r="H22" s="195"/>
      <c r="I22" s="195"/>
      <c r="J22" s="194"/>
      <c r="M22" s="252" t="s">
        <v>313</v>
      </c>
      <c r="N22" s="181">
        <f>SQRT(N21)</f>
        <v>3045.1016126029272</v>
      </c>
    </row>
    <row r="23" spans="1:19" ht="17" thickBot="1" x14ac:dyDescent="0.25">
      <c r="A23" s="198"/>
      <c r="B23" s="197" t="s">
        <v>331</v>
      </c>
      <c r="C23" s="195"/>
      <c r="D23" s="195"/>
      <c r="E23" s="195"/>
      <c r="F23" s="195"/>
      <c r="G23" s="195"/>
      <c r="H23" s="195"/>
      <c r="I23" s="195"/>
      <c r="J23" s="194"/>
      <c r="M23" s="251" t="s">
        <v>312</v>
      </c>
      <c r="N23" s="230">
        <f>N22/SUM(G13:G15)</f>
        <v>0.24150222956641504</v>
      </c>
    </row>
    <row r="24" spans="1:19" x14ac:dyDescent="0.2">
      <c r="A24" s="198"/>
      <c r="B24" s="197" t="s">
        <v>330</v>
      </c>
      <c r="C24" s="195"/>
      <c r="D24" s="195"/>
      <c r="E24" s="220">
        <v>6000000</v>
      </c>
      <c r="F24" s="195"/>
      <c r="G24" s="195"/>
      <c r="H24" s="195"/>
      <c r="I24" s="195"/>
      <c r="J24" s="194"/>
    </row>
    <row r="25" spans="1:19" x14ac:dyDescent="0.2">
      <c r="A25" s="198"/>
      <c r="B25" s="197" t="s">
        <v>329</v>
      </c>
      <c r="C25" s="195"/>
      <c r="D25" s="195"/>
      <c r="E25" s="220">
        <v>3000000</v>
      </c>
      <c r="F25" s="195"/>
      <c r="G25" s="195"/>
      <c r="H25" s="195"/>
      <c r="I25" s="195"/>
      <c r="J25" s="194"/>
      <c r="M25" s="188" t="s">
        <v>258</v>
      </c>
      <c r="N25" s="181"/>
    </row>
    <row r="26" spans="1:19" x14ac:dyDescent="0.2">
      <c r="A26" s="198"/>
      <c r="B26" s="195"/>
      <c r="C26" s="195"/>
      <c r="D26" s="195"/>
      <c r="E26" s="195"/>
      <c r="F26" s="195"/>
      <c r="G26" s="195"/>
      <c r="H26" s="195"/>
      <c r="I26" s="195"/>
      <c r="J26" s="194"/>
      <c r="N26" s="179"/>
    </row>
    <row r="27" spans="1:19" x14ac:dyDescent="0.2">
      <c r="A27" s="198"/>
      <c r="B27" s="259" t="s">
        <v>0</v>
      </c>
      <c r="C27" s="195"/>
      <c r="D27" s="195"/>
      <c r="E27" s="195"/>
      <c r="F27" s="195"/>
      <c r="G27" s="195"/>
      <c r="H27" s="195"/>
      <c r="I27" s="195"/>
      <c r="J27" s="194"/>
      <c r="M27" s="229" t="s">
        <v>328</v>
      </c>
    </row>
    <row r="28" spans="1:19" x14ac:dyDescent="0.2">
      <c r="A28" s="198"/>
      <c r="B28" s="195" t="s">
        <v>327</v>
      </c>
      <c r="C28" s="195"/>
      <c r="D28" s="195"/>
      <c r="E28" s="195"/>
      <c r="F28" s="195"/>
      <c r="G28" s="195"/>
      <c r="H28" s="195"/>
      <c r="I28" s="195"/>
      <c r="J28" s="194"/>
    </row>
    <row r="29" spans="1:19" x14ac:dyDescent="0.2">
      <c r="A29" s="198"/>
      <c r="B29" s="214"/>
      <c r="C29" s="195"/>
      <c r="D29" s="195"/>
      <c r="E29" s="195"/>
      <c r="F29" s="195"/>
      <c r="G29" s="195"/>
      <c r="H29" s="195"/>
      <c r="I29" s="195"/>
      <c r="J29" s="194"/>
      <c r="M29" s="185" t="s">
        <v>17</v>
      </c>
      <c r="N29" s="183" t="s">
        <v>326</v>
      </c>
      <c r="O29" s="183" t="s">
        <v>325</v>
      </c>
      <c r="P29" s="183" t="s">
        <v>324</v>
      </c>
    </row>
    <row r="30" spans="1:19" x14ac:dyDescent="0.2">
      <c r="A30" s="198"/>
      <c r="B30" s="259" t="s">
        <v>1</v>
      </c>
      <c r="C30" s="195"/>
      <c r="D30" s="195"/>
      <c r="E30" s="195"/>
      <c r="F30" s="195"/>
      <c r="G30" s="195"/>
      <c r="H30" s="195"/>
      <c r="I30" s="195"/>
      <c r="J30" s="194"/>
      <c r="M30" s="182">
        <v>2010</v>
      </c>
      <c r="N30" s="260">
        <f>(D7-D19)^2/D19</f>
        <v>15.159084351255169</v>
      </c>
      <c r="O30" s="260">
        <f>(E7-E19)^2/E19</f>
        <v>214.32755440796754</v>
      </c>
      <c r="P30" s="260">
        <f>(F7-F19)^2/F19</f>
        <v>47.858520900321544</v>
      </c>
      <c r="S30" s="178"/>
    </row>
    <row r="31" spans="1:19" x14ac:dyDescent="0.2">
      <c r="A31" s="198"/>
      <c r="B31" s="195" t="s">
        <v>323</v>
      </c>
      <c r="C31" s="195"/>
      <c r="D31" s="195"/>
      <c r="E31" s="195"/>
      <c r="F31" s="195"/>
      <c r="G31" s="195"/>
      <c r="H31" s="195"/>
      <c r="I31" s="195"/>
      <c r="J31" s="194"/>
      <c r="M31" s="182">
        <v>2011</v>
      </c>
      <c r="N31" s="260">
        <f>(D8-D20)^2/D20</f>
        <v>5.5413253909158602</v>
      </c>
      <c r="O31" s="260">
        <f>(E8-E20)^2/E20</f>
        <v>1.8934499375334641</v>
      </c>
      <c r="P31" s="260"/>
      <c r="S31" s="255"/>
    </row>
    <row r="32" spans="1:19" x14ac:dyDescent="0.2">
      <c r="A32" s="198"/>
      <c r="B32" s="195"/>
      <c r="C32" s="195"/>
      <c r="D32" s="195"/>
      <c r="E32" s="195"/>
      <c r="F32" s="195"/>
      <c r="G32" s="195"/>
      <c r="H32" s="195"/>
      <c r="I32" s="195"/>
      <c r="J32" s="194"/>
      <c r="M32" s="182">
        <v>2012</v>
      </c>
      <c r="N32" s="260">
        <f>(D9-D21)^2/D21</f>
        <v>0.73038773669972945</v>
      </c>
      <c r="O32" s="260"/>
      <c r="P32" s="260"/>
      <c r="S32" s="255"/>
    </row>
    <row r="33" spans="1:19" x14ac:dyDescent="0.2">
      <c r="A33" s="198"/>
      <c r="B33" s="259" t="s">
        <v>2</v>
      </c>
      <c r="C33" s="195"/>
      <c r="D33" s="195"/>
      <c r="E33" s="195"/>
      <c r="F33" s="195"/>
      <c r="G33" s="195"/>
      <c r="H33" s="195"/>
      <c r="I33" s="195"/>
      <c r="J33" s="194"/>
      <c r="Q33" s="178"/>
      <c r="R33" s="178"/>
      <c r="S33" s="255"/>
    </row>
    <row r="34" spans="1:19" x14ac:dyDescent="0.2">
      <c r="A34" s="198"/>
      <c r="B34" s="195" t="s">
        <v>322</v>
      </c>
      <c r="C34" s="195"/>
      <c r="D34" s="195"/>
      <c r="E34" s="195"/>
      <c r="F34" s="195"/>
      <c r="G34" s="195"/>
      <c r="H34" s="195"/>
      <c r="I34" s="195"/>
      <c r="J34" s="194"/>
      <c r="M34" s="252" t="s">
        <v>321</v>
      </c>
      <c r="N34" s="255"/>
      <c r="O34" s="255"/>
      <c r="P34" s="255"/>
      <c r="Q34" s="255"/>
      <c r="R34" s="255"/>
      <c r="S34" s="255"/>
    </row>
    <row r="35" spans="1:19" ht="17" thickBot="1" x14ac:dyDescent="0.25">
      <c r="A35" s="198"/>
      <c r="B35" s="195"/>
      <c r="C35" s="195"/>
      <c r="D35" s="195"/>
      <c r="E35" s="195"/>
      <c r="F35" s="195"/>
      <c r="G35" s="195"/>
      <c r="H35" s="195"/>
      <c r="I35" s="195"/>
      <c r="J35" s="194"/>
      <c r="M35" s="188"/>
      <c r="N35" s="258"/>
      <c r="O35" s="255"/>
      <c r="P35" s="255"/>
      <c r="Q35" s="255"/>
      <c r="R35" s="255"/>
      <c r="S35" s="255"/>
    </row>
    <row r="36" spans="1:19" ht="17" thickBot="1" x14ac:dyDescent="0.25">
      <c r="A36" s="192" t="s">
        <v>176</v>
      </c>
      <c r="B36" s="191"/>
      <c r="C36" s="190"/>
      <c r="D36" s="190"/>
      <c r="E36" s="190"/>
      <c r="F36" s="190"/>
      <c r="G36" s="190"/>
      <c r="H36" s="190"/>
      <c r="I36" s="190"/>
      <c r="J36" s="189"/>
      <c r="M36" s="252" t="s">
        <v>228</v>
      </c>
      <c r="N36" s="257">
        <v>6</v>
      </c>
      <c r="O36" s="256" t="s">
        <v>320</v>
      </c>
      <c r="P36" s="255"/>
      <c r="Q36" s="255"/>
      <c r="R36" s="255"/>
    </row>
    <row r="37" spans="1:19" x14ac:dyDescent="0.2">
      <c r="M37" s="252" t="s">
        <v>229</v>
      </c>
      <c r="N37" s="257">
        <v>3</v>
      </c>
      <c r="O37" s="256" t="s">
        <v>319</v>
      </c>
      <c r="P37" s="255"/>
      <c r="Q37" s="255"/>
      <c r="R37" s="255"/>
    </row>
    <row r="38" spans="1:19" x14ac:dyDescent="0.2">
      <c r="M38" s="178"/>
      <c r="N38" s="255"/>
      <c r="O38" s="255"/>
      <c r="P38" s="255"/>
      <c r="Q38" s="255"/>
      <c r="R38" s="255"/>
    </row>
    <row r="39" spans="1:19" x14ac:dyDescent="0.2">
      <c r="M39" s="252" t="s">
        <v>318</v>
      </c>
      <c r="N39" s="181">
        <f>SUM(N30:P32)</f>
        <v>285.51032272469337</v>
      </c>
    </row>
    <row r="40" spans="1:19" x14ac:dyDescent="0.2">
      <c r="M40" s="252" t="s">
        <v>317</v>
      </c>
      <c r="N40" s="181">
        <f>1/(N36-N37)*N39</f>
        <v>95.170107574897784</v>
      </c>
      <c r="O40" t="s">
        <v>316</v>
      </c>
    </row>
    <row r="41" spans="1:19" x14ac:dyDescent="0.2">
      <c r="N41" s="248"/>
    </row>
    <row r="42" spans="1:19" x14ac:dyDescent="0.2">
      <c r="M42" s="252" t="s">
        <v>286</v>
      </c>
      <c r="N42" s="254">
        <f>N40*SUM(G19:G21)</f>
        <v>1208755.5363087768</v>
      </c>
      <c r="O42" t="s">
        <v>315</v>
      </c>
    </row>
    <row r="43" spans="1:19" x14ac:dyDescent="0.2">
      <c r="M43" s="252" t="s">
        <v>314</v>
      </c>
      <c r="N43" s="253">
        <f>N42+E25</f>
        <v>4208755.5363087766</v>
      </c>
    </row>
    <row r="44" spans="1:19" ht="17" thickBot="1" x14ac:dyDescent="0.25">
      <c r="M44" s="252" t="s">
        <v>313</v>
      </c>
      <c r="N44" s="181">
        <f>SQRT(N43)</f>
        <v>2051.525173208649</v>
      </c>
    </row>
    <row r="45" spans="1:19" ht="17" thickBot="1" x14ac:dyDescent="0.25">
      <c r="M45" s="251" t="s">
        <v>312</v>
      </c>
      <c r="N45" s="230">
        <f>N44/SUM(G19:G21)</f>
        <v>0.1615246967332217</v>
      </c>
    </row>
    <row r="47" spans="1:19" x14ac:dyDescent="0.2">
      <c r="M47" s="250" t="s">
        <v>283</v>
      </c>
    </row>
    <row r="48" spans="1:19" x14ac:dyDescent="0.2">
      <c r="N48" s="249"/>
    </row>
    <row r="49" spans="13:19" x14ac:dyDescent="0.2">
      <c r="M49" s="155" t="s">
        <v>311</v>
      </c>
      <c r="N49" s="155"/>
      <c r="O49" s="155"/>
      <c r="P49" s="155"/>
      <c r="Q49" s="155"/>
      <c r="R49" s="155"/>
      <c r="S49" s="155"/>
    </row>
    <row r="50" spans="13:19" x14ac:dyDescent="0.2">
      <c r="M50" s="155"/>
      <c r="N50" s="155"/>
      <c r="O50" s="155"/>
      <c r="P50" s="155"/>
      <c r="Q50" s="155"/>
      <c r="R50" s="155"/>
      <c r="S50" s="155"/>
    </row>
    <row r="52" spans="13:19" x14ac:dyDescent="0.2">
      <c r="M52" s="155" t="s">
        <v>310</v>
      </c>
      <c r="N52" s="155"/>
      <c r="O52" s="155"/>
      <c r="P52" s="155"/>
      <c r="Q52" s="155"/>
      <c r="R52" s="155"/>
      <c r="S52" s="155"/>
    </row>
    <row r="53" spans="13:19" x14ac:dyDescent="0.2">
      <c r="M53" s="155"/>
      <c r="N53" s="155"/>
      <c r="O53" s="155"/>
      <c r="P53" s="155"/>
      <c r="Q53" s="155"/>
      <c r="R53" s="155"/>
      <c r="S53" s="155"/>
    </row>
    <row r="55" spans="13:19" ht="19" x14ac:dyDescent="0.25">
      <c r="M55" s="174" t="s">
        <v>129</v>
      </c>
      <c r="N55" s="248"/>
    </row>
    <row r="56" spans="13:19" x14ac:dyDescent="0.2">
      <c r="M56" s="155" t="s">
        <v>309</v>
      </c>
      <c r="N56" s="155"/>
      <c r="O56" s="155"/>
      <c r="P56" s="155"/>
      <c r="Q56" s="155"/>
      <c r="R56" s="155"/>
      <c r="S56" s="155"/>
    </row>
    <row r="57" spans="13:19" x14ac:dyDescent="0.2">
      <c r="M57" s="155"/>
      <c r="N57" s="155"/>
      <c r="O57" s="155"/>
      <c r="P57" s="155"/>
      <c r="Q57" s="155"/>
      <c r="R57" s="155"/>
      <c r="S57" s="155"/>
    </row>
    <row r="59" spans="13:19" ht="19" x14ac:dyDescent="0.25">
      <c r="M59" s="174" t="s">
        <v>220</v>
      </c>
    </row>
    <row r="60" spans="13:19" x14ac:dyDescent="0.2">
      <c r="M60" t="s">
        <v>221</v>
      </c>
      <c r="N60" s="248"/>
    </row>
    <row r="61" spans="13:19" x14ac:dyDescent="0.2">
      <c r="M61" t="s">
        <v>222</v>
      </c>
    </row>
  </sheetData>
  <mergeCells count="11">
    <mergeCell ref="M52:S53"/>
    <mergeCell ref="M49:S50"/>
    <mergeCell ref="M56:S57"/>
    <mergeCell ref="G17:G18"/>
    <mergeCell ref="G11:G12"/>
    <mergeCell ref="C5:C6"/>
    <mergeCell ref="C11:C12"/>
    <mergeCell ref="C17:C18"/>
    <mergeCell ref="D5:F5"/>
    <mergeCell ref="D11:F11"/>
    <mergeCell ref="D17:F1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94D75-3E4A-1644-BBBC-78C43F6F33A7}">
  <dimension ref="A1:W40"/>
  <sheetViews>
    <sheetView workbookViewId="0"/>
  </sheetViews>
  <sheetFormatPr baseColWidth="10" defaultColWidth="11" defaultRowHeight="16" outlineLevelCol="1" x14ac:dyDescent="0.2"/>
  <cols>
    <col min="1" max="1" width="4.5" customWidth="1"/>
    <col min="3" max="3" width="10.83203125" customWidth="1"/>
    <col min="4" max="4" width="13.5" customWidth="1"/>
    <col min="5" max="10" width="10.83203125" customWidth="1"/>
    <col min="12" max="12" width="11.1640625" bestFit="1" customWidth="1"/>
    <col min="13" max="13" width="12.6640625" hidden="1" customWidth="1" outlineLevel="1"/>
    <col min="14" max="22" width="10.83203125" hidden="1" customWidth="1" outlineLevel="1"/>
    <col min="23" max="23" width="11" collapsed="1"/>
  </cols>
  <sheetData>
    <row r="1" spans="1:22" ht="19" x14ac:dyDescent="0.25">
      <c r="A1" s="227" t="s">
        <v>346</v>
      </c>
      <c r="B1" s="226"/>
      <c r="C1" s="225"/>
      <c r="D1" s="225"/>
      <c r="E1" s="225"/>
      <c r="F1" s="224"/>
      <c r="G1" s="224"/>
      <c r="H1" s="224"/>
      <c r="I1" s="224"/>
      <c r="J1" s="223"/>
      <c r="L1" s="174" t="s">
        <v>177</v>
      </c>
    </row>
    <row r="2" spans="1:22" x14ac:dyDescent="0.2">
      <c r="A2" s="198"/>
      <c r="B2" s="195"/>
      <c r="C2" s="195"/>
      <c r="D2" s="195"/>
      <c r="E2" s="195"/>
      <c r="F2" s="195"/>
      <c r="G2" s="195"/>
      <c r="H2" s="195"/>
      <c r="I2" s="195"/>
      <c r="J2" s="194"/>
    </row>
    <row r="3" spans="1:22" x14ac:dyDescent="0.2">
      <c r="A3" s="198"/>
      <c r="B3" s="195" t="s">
        <v>274</v>
      </c>
      <c r="C3" s="214"/>
      <c r="D3" s="195"/>
      <c r="E3" s="195"/>
      <c r="F3" s="195"/>
      <c r="G3" s="195"/>
      <c r="H3" s="195"/>
      <c r="I3" s="195"/>
      <c r="J3" s="194"/>
      <c r="M3" s="188" t="s">
        <v>273</v>
      </c>
    </row>
    <row r="4" spans="1:22" x14ac:dyDescent="0.2">
      <c r="A4" s="198"/>
      <c r="B4" s="195"/>
      <c r="C4" s="214"/>
      <c r="D4" s="195"/>
      <c r="E4" s="195"/>
      <c r="F4" s="195"/>
      <c r="G4" s="195"/>
      <c r="H4" s="195"/>
      <c r="I4" s="195"/>
      <c r="J4" s="194"/>
      <c r="N4" s="179"/>
    </row>
    <row r="5" spans="1:22" x14ac:dyDescent="0.2">
      <c r="A5" s="198"/>
      <c r="B5" s="195"/>
      <c r="C5" s="222" t="s">
        <v>272</v>
      </c>
      <c r="D5" s="222" t="s">
        <v>147</v>
      </c>
      <c r="E5" s="195"/>
      <c r="F5" s="195"/>
      <c r="G5" s="195"/>
      <c r="H5" s="195"/>
      <c r="I5" s="195"/>
      <c r="J5" s="194"/>
      <c r="M5" s="229" t="s">
        <v>269</v>
      </c>
      <c r="N5" s="180"/>
    </row>
    <row r="6" spans="1:22" x14ac:dyDescent="0.2">
      <c r="A6" s="198"/>
      <c r="B6" s="195"/>
      <c r="C6" s="218" t="s">
        <v>268</v>
      </c>
      <c r="D6" s="218" t="s">
        <v>267</v>
      </c>
      <c r="E6" s="195"/>
      <c r="F6" s="195"/>
      <c r="G6" s="195"/>
      <c r="H6" s="195"/>
      <c r="I6" s="195"/>
      <c r="J6" s="194"/>
      <c r="N6" s="180"/>
    </row>
    <row r="7" spans="1:22" x14ac:dyDescent="0.2">
      <c r="A7" s="198"/>
      <c r="B7" s="195"/>
      <c r="C7" s="221">
        <v>2010</v>
      </c>
      <c r="D7" s="288">
        <v>13000</v>
      </c>
      <c r="E7" s="195"/>
      <c r="F7" s="195"/>
      <c r="G7" s="195"/>
      <c r="H7" s="195"/>
      <c r="I7" s="195"/>
      <c r="J7" s="194"/>
      <c r="M7" s="285"/>
      <c r="O7" t="s">
        <v>18</v>
      </c>
      <c r="P7" t="s">
        <v>250</v>
      </c>
      <c r="Q7" s="285" t="s">
        <v>249</v>
      </c>
      <c r="R7" t="s">
        <v>18</v>
      </c>
      <c r="S7" t="s">
        <v>250</v>
      </c>
      <c r="T7" s="285" t="s">
        <v>249</v>
      </c>
      <c r="U7" t="s">
        <v>345</v>
      </c>
      <c r="V7" t="s">
        <v>345</v>
      </c>
    </row>
    <row r="8" spans="1:22" x14ac:dyDescent="0.2">
      <c r="A8" s="198"/>
      <c r="B8" s="195"/>
      <c r="C8" s="221">
        <v>2011</v>
      </c>
      <c r="D8" s="288">
        <v>11500</v>
      </c>
      <c r="E8" s="195"/>
      <c r="F8" s="195"/>
      <c r="G8" s="195"/>
      <c r="H8" s="195"/>
      <c r="I8" s="195"/>
      <c r="J8" s="194"/>
      <c r="M8" s="244" t="s">
        <v>17</v>
      </c>
      <c r="N8" s="184" t="s">
        <v>251</v>
      </c>
      <c r="O8" s="183" t="s">
        <v>267</v>
      </c>
      <c r="P8" s="183" t="s">
        <v>267</v>
      </c>
      <c r="Q8" s="287" t="s">
        <v>267</v>
      </c>
      <c r="R8" s="183" t="s">
        <v>344</v>
      </c>
      <c r="S8" s="183" t="s">
        <v>344</v>
      </c>
      <c r="T8" s="287" t="s">
        <v>344</v>
      </c>
      <c r="U8" s="183" t="s">
        <v>343</v>
      </c>
      <c r="V8" s="183" t="s">
        <v>342</v>
      </c>
    </row>
    <row r="9" spans="1:22" x14ac:dyDescent="0.2">
      <c r="A9" s="198"/>
      <c r="B9" s="195"/>
      <c r="C9" s="218">
        <v>2012</v>
      </c>
      <c r="D9" s="286">
        <v>8000</v>
      </c>
      <c r="E9" s="195"/>
      <c r="F9" s="195"/>
      <c r="G9" s="195"/>
      <c r="H9" s="195"/>
      <c r="I9" s="195"/>
      <c r="J9" s="194"/>
      <c r="M9" s="285">
        <v>2010</v>
      </c>
      <c r="N9" s="181">
        <f>D7</f>
        <v>13000</v>
      </c>
      <c r="O9">
        <v>36</v>
      </c>
      <c r="P9">
        <f>O9-6</f>
        <v>30</v>
      </c>
      <c r="Q9" s="243">
        <f>P9^$D$16/(P9^$D$16+$D$17^$D$16)</f>
        <v>0.9750390015600624</v>
      </c>
      <c r="R9" s="284">
        <f>O9+12</f>
        <v>48</v>
      </c>
      <c r="S9" s="284">
        <f>P9+12</f>
        <v>42</v>
      </c>
      <c r="T9" s="243">
        <f>S9^$D$16/(S9^$D$16+$D$17^$D$16)</f>
        <v>0.98710717163577766</v>
      </c>
      <c r="U9" s="181">
        <f>N9/Q9</f>
        <v>13332.8</v>
      </c>
      <c r="V9" s="181">
        <f>U9*(T9-Q9)</f>
        <v>160.90249798549635</v>
      </c>
    </row>
    <row r="10" spans="1:22" x14ac:dyDescent="0.2">
      <c r="A10" s="198"/>
      <c r="B10" s="214"/>
      <c r="C10" s="215"/>
      <c r="D10" s="215"/>
      <c r="E10" s="215"/>
      <c r="F10" s="215"/>
      <c r="G10" s="195"/>
      <c r="H10" s="195"/>
      <c r="I10" s="195"/>
      <c r="J10" s="194"/>
      <c r="M10" s="285">
        <v>2011</v>
      </c>
      <c r="N10" s="181">
        <f>D8</f>
        <v>11500</v>
      </c>
      <c r="O10">
        <v>24</v>
      </c>
      <c r="P10">
        <f>O10-6</f>
        <v>18</v>
      </c>
      <c r="Q10" s="243">
        <f>P10^$D$16/(P10^$D$16+$D$17^$D$16)</f>
        <v>0.93360995850622397</v>
      </c>
      <c r="R10" s="284">
        <f>O10+12</f>
        <v>36</v>
      </c>
      <c r="S10" s="284">
        <f>P10+12</f>
        <v>30</v>
      </c>
      <c r="T10" s="243">
        <f>S10^$D$16/(S10^$D$16+$D$17^$D$16)</f>
        <v>0.9750390015600624</v>
      </c>
      <c r="U10" s="181">
        <f>N10/Q10</f>
        <v>12317.777777777779</v>
      </c>
      <c r="V10" s="181">
        <f>U10*(T10-Q10)</f>
        <v>510.31374588316993</v>
      </c>
    </row>
    <row r="11" spans="1:22" x14ac:dyDescent="0.2">
      <c r="A11" s="198"/>
      <c r="B11" s="197" t="s">
        <v>264</v>
      </c>
      <c r="C11" s="214"/>
      <c r="D11" s="195"/>
      <c r="E11" s="195"/>
      <c r="F11" s="206"/>
      <c r="G11" s="195"/>
      <c r="H11" s="195"/>
      <c r="I11" s="195"/>
      <c r="J11" s="194"/>
      <c r="M11" s="285">
        <v>2012</v>
      </c>
      <c r="N11" s="181">
        <f>D9</f>
        <v>8000</v>
      </c>
      <c r="O11">
        <v>12</v>
      </c>
      <c r="P11">
        <f>O11-6</f>
        <v>6</v>
      </c>
      <c r="Q11" s="243">
        <f>P11^$D$16/(P11^$D$16+$D$17^$D$16)</f>
        <v>0.6097560975609756</v>
      </c>
      <c r="R11" s="284">
        <f>O11+12</f>
        <v>24</v>
      </c>
      <c r="S11" s="284">
        <f>P11+12</f>
        <v>18</v>
      </c>
      <c r="T11" s="243">
        <f>S11^$D$16/(S11^$D$16+$D$17^$D$16)</f>
        <v>0.93360995850622397</v>
      </c>
      <c r="U11" s="181">
        <f>N11/Q11</f>
        <v>13120</v>
      </c>
      <c r="V11" s="181">
        <f>U11*(T11-Q11)</f>
        <v>4248.9626556016583</v>
      </c>
    </row>
    <row r="12" spans="1:22" ht="17" thickBot="1" x14ac:dyDescent="0.25">
      <c r="A12" s="198"/>
      <c r="B12" s="197" t="s">
        <v>263</v>
      </c>
      <c r="C12" s="195"/>
      <c r="D12" s="195"/>
      <c r="E12" s="195"/>
      <c r="F12" s="196"/>
      <c r="G12" s="195"/>
      <c r="H12" s="195"/>
      <c r="I12" s="195"/>
      <c r="J12" s="194"/>
    </row>
    <row r="13" spans="1:22" ht="17" thickBot="1" x14ac:dyDescent="0.25">
      <c r="A13" s="198"/>
      <c r="B13" s="197"/>
      <c r="C13" s="195"/>
      <c r="D13" s="195"/>
      <c r="E13" s="195"/>
      <c r="F13" s="196"/>
      <c r="G13" s="195"/>
      <c r="H13" s="195"/>
      <c r="I13" s="195"/>
      <c r="J13" s="194"/>
      <c r="M13" s="177" t="s">
        <v>341</v>
      </c>
      <c r="N13" s="283">
        <f>SUM(V9:V11)</f>
        <v>4920.1788994703247</v>
      </c>
    </row>
    <row r="14" spans="1:22" x14ac:dyDescent="0.2">
      <c r="A14" s="198"/>
      <c r="B14" s="197"/>
      <c r="C14" s="212" t="s">
        <v>262</v>
      </c>
      <c r="D14" s="222" t="s">
        <v>21</v>
      </c>
      <c r="E14" s="195"/>
      <c r="F14" s="196"/>
      <c r="G14" s="195"/>
      <c r="H14" s="195"/>
      <c r="I14" s="195"/>
      <c r="J14" s="194"/>
    </row>
    <row r="15" spans="1:22" x14ac:dyDescent="0.2">
      <c r="A15" s="198"/>
      <c r="B15" s="197"/>
      <c r="C15" s="204" t="s">
        <v>260</v>
      </c>
      <c r="D15" s="218" t="s">
        <v>259</v>
      </c>
      <c r="E15" s="195"/>
      <c r="F15" s="196"/>
      <c r="G15" s="195"/>
      <c r="H15" s="195"/>
      <c r="I15" s="195"/>
      <c r="J15" s="194"/>
      <c r="M15" s="188" t="s">
        <v>258</v>
      </c>
    </row>
    <row r="16" spans="1:22" x14ac:dyDescent="0.2">
      <c r="A16" s="198"/>
      <c r="B16" s="197"/>
      <c r="C16" s="207" t="s">
        <v>72</v>
      </c>
      <c r="D16" s="239">
        <v>2</v>
      </c>
      <c r="E16" s="195"/>
      <c r="F16" s="196"/>
      <c r="G16" s="195"/>
      <c r="H16" s="195"/>
      <c r="I16" s="195"/>
      <c r="J16" s="194"/>
    </row>
    <row r="17" spans="1:21" ht="16" customHeight="1" x14ac:dyDescent="0.2">
      <c r="A17" s="198"/>
      <c r="B17" s="197"/>
      <c r="C17" s="204" t="s">
        <v>71</v>
      </c>
      <c r="D17" s="238">
        <v>4.8</v>
      </c>
      <c r="E17" s="195"/>
      <c r="F17" s="196"/>
      <c r="G17" s="195"/>
      <c r="H17" s="195"/>
      <c r="I17" s="195"/>
      <c r="J17" s="194"/>
      <c r="M17" s="282" t="s">
        <v>340</v>
      </c>
      <c r="N17" s="282"/>
      <c r="O17" s="282"/>
      <c r="P17" s="282"/>
      <c r="Q17" s="282"/>
      <c r="R17" s="282"/>
      <c r="S17" s="282"/>
      <c r="T17" s="282"/>
      <c r="U17" s="282"/>
    </row>
    <row r="18" spans="1:21" x14ac:dyDescent="0.2">
      <c r="A18" s="198"/>
      <c r="B18" s="197"/>
      <c r="C18" s="195"/>
      <c r="D18" s="195"/>
      <c r="E18" s="195"/>
      <c r="F18" s="196"/>
      <c r="G18" s="195"/>
      <c r="H18" s="195"/>
      <c r="I18" s="195"/>
      <c r="J18" s="194"/>
      <c r="M18" s="282"/>
      <c r="N18" s="282"/>
      <c r="O18" s="282"/>
      <c r="P18" s="282"/>
      <c r="Q18" s="282"/>
      <c r="R18" s="282"/>
      <c r="S18" s="282"/>
      <c r="T18" s="282"/>
      <c r="U18" s="282"/>
    </row>
    <row r="19" spans="1:21" x14ac:dyDescent="0.2">
      <c r="A19" s="198"/>
      <c r="B19" s="199" t="s">
        <v>0</v>
      </c>
      <c r="C19" s="195"/>
      <c r="D19" s="195"/>
      <c r="E19" s="195"/>
      <c r="F19" s="196"/>
      <c r="G19" s="195"/>
      <c r="H19" s="195"/>
      <c r="I19" s="195"/>
      <c r="J19" s="194"/>
      <c r="O19" s="180"/>
    </row>
    <row r="20" spans="1:21" x14ac:dyDescent="0.2">
      <c r="A20" s="198"/>
      <c r="B20" s="195" t="s">
        <v>339</v>
      </c>
      <c r="C20" s="195"/>
      <c r="D20" s="195"/>
      <c r="E20" s="195"/>
      <c r="F20" s="196"/>
      <c r="G20" s="195"/>
      <c r="H20" s="195"/>
      <c r="I20" s="195"/>
      <c r="J20" s="194"/>
      <c r="N20" s="179"/>
      <c r="R20" s="180"/>
      <c r="S20" s="228"/>
    </row>
    <row r="21" spans="1:21" ht="19" x14ac:dyDescent="0.25">
      <c r="A21" s="198"/>
      <c r="B21" s="200"/>
      <c r="C21" s="195"/>
      <c r="D21" s="195"/>
      <c r="E21" s="195"/>
      <c r="F21" s="196"/>
      <c r="G21" s="195"/>
      <c r="H21" s="195"/>
      <c r="I21" s="195"/>
      <c r="J21" s="194"/>
      <c r="M21" s="174" t="s">
        <v>220</v>
      </c>
      <c r="N21" s="179"/>
      <c r="R21" s="180"/>
      <c r="S21" s="228"/>
    </row>
    <row r="22" spans="1:21" x14ac:dyDescent="0.2">
      <c r="A22" s="198"/>
      <c r="B22" s="199" t="s">
        <v>1</v>
      </c>
      <c r="C22" s="195"/>
      <c r="D22" s="195"/>
      <c r="E22" s="195"/>
      <c r="F22" s="196"/>
      <c r="G22" s="195"/>
      <c r="H22" s="195"/>
      <c r="I22" s="195"/>
      <c r="J22" s="194"/>
      <c r="M22" t="s">
        <v>225</v>
      </c>
      <c r="S22" s="180"/>
    </row>
    <row r="23" spans="1:21" x14ac:dyDescent="0.2">
      <c r="A23" s="198"/>
      <c r="B23" s="195" t="s">
        <v>338</v>
      </c>
      <c r="C23" s="195"/>
      <c r="D23" s="195"/>
      <c r="E23" s="195"/>
      <c r="F23" s="196"/>
      <c r="G23" s="195"/>
      <c r="H23" s="195"/>
      <c r="I23" s="195"/>
      <c r="J23" s="194"/>
      <c r="N23" s="240"/>
    </row>
    <row r="24" spans="1:21" ht="17" thickBot="1" x14ac:dyDescent="0.25">
      <c r="A24" s="198"/>
      <c r="B24" s="245"/>
      <c r="C24" s="195"/>
      <c r="D24" s="195"/>
      <c r="E24" s="195"/>
      <c r="F24" s="195"/>
      <c r="G24" s="195"/>
      <c r="H24" s="195"/>
      <c r="I24" s="195"/>
      <c r="J24" s="194"/>
      <c r="R24" s="180"/>
    </row>
    <row r="25" spans="1:21" ht="17" thickBot="1" x14ac:dyDescent="0.25">
      <c r="A25" s="192" t="s">
        <v>176</v>
      </c>
      <c r="B25" s="190"/>
      <c r="C25" s="190"/>
      <c r="D25" s="190"/>
      <c r="E25" s="190"/>
      <c r="F25" s="190"/>
      <c r="G25" s="190"/>
      <c r="H25" s="190"/>
      <c r="I25" s="190"/>
      <c r="J25" s="189"/>
      <c r="N25" s="179"/>
      <c r="R25" s="180"/>
      <c r="S25" s="180"/>
      <c r="T25" s="228"/>
    </row>
    <row r="26" spans="1:21" x14ac:dyDescent="0.2">
      <c r="N26" s="179"/>
      <c r="R26" s="180"/>
      <c r="S26" s="180"/>
      <c r="T26" s="228"/>
    </row>
    <row r="27" spans="1:21" x14ac:dyDescent="0.2">
      <c r="N27" s="179"/>
      <c r="R27" s="180"/>
      <c r="S27" s="180"/>
      <c r="T27" s="228"/>
    </row>
    <row r="29" spans="1:21" x14ac:dyDescent="0.2">
      <c r="N29" s="228"/>
    </row>
    <row r="33" spans="13:21" x14ac:dyDescent="0.2">
      <c r="N33" s="181"/>
    </row>
    <row r="35" spans="13:21" x14ac:dyDescent="0.2">
      <c r="M35" s="281"/>
      <c r="N35" s="188"/>
      <c r="O35" s="188"/>
      <c r="P35" s="188"/>
      <c r="Q35" s="188"/>
      <c r="R35" s="188"/>
      <c r="S35" s="188"/>
      <c r="T35" s="188"/>
      <c r="U35" s="188"/>
    </row>
    <row r="36" spans="13:21" x14ac:dyDescent="0.2">
      <c r="M36" s="188"/>
      <c r="N36" s="188"/>
      <c r="O36" s="188"/>
      <c r="P36" s="188"/>
      <c r="Q36" s="188"/>
      <c r="R36" s="188"/>
      <c r="S36" s="188"/>
      <c r="T36" s="188"/>
      <c r="U36" s="188"/>
    </row>
    <row r="37" spans="13:21" x14ac:dyDescent="0.2">
      <c r="M37" s="281"/>
      <c r="N37" s="188"/>
      <c r="O37" s="188"/>
      <c r="P37" s="188"/>
      <c r="Q37" s="188"/>
      <c r="R37" s="188"/>
      <c r="S37" s="188"/>
      <c r="T37" s="188"/>
      <c r="U37" s="188"/>
    </row>
    <row r="38" spans="13:21" x14ac:dyDescent="0.2">
      <c r="M38" s="188"/>
      <c r="N38" s="188"/>
      <c r="O38" s="188"/>
      <c r="P38" s="188"/>
      <c r="Q38" s="188"/>
      <c r="R38" s="188"/>
      <c r="S38" s="188"/>
      <c r="T38" s="188"/>
      <c r="U38" s="188"/>
    </row>
    <row r="39" spans="13:21" x14ac:dyDescent="0.2">
      <c r="M39" s="188"/>
      <c r="N39" s="188"/>
      <c r="O39" s="188"/>
      <c r="P39" s="188"/>
      <c r="Q39" s="188"/>
      <c r="R39" s="188"/>
      <c r="S39" s="188"/>
      <c r="T39" s="188"/>
      <c r="U39" s="188"/>
    </row>
    <row r="40" spans="13:21" x14ac:dyDescent="0.2">
      <c r="M40" s="188"/>
      <c r="N40" s="188"/>
      <c r="O40" s="188"/>
      <c r="P40" s="188"/>
      <c r="Q40" s="188"/>
      <c r="R40" s="188"/>
      <c r="S40" s="188"/>
      <c r="T40" s="188"/>
      <c r="U40" s="188"/>
    </row>
  </sheetData>
  <mergeCells count="1">
    <mergeCell ref="M17:U1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84C1A-9EC6-7344-83C3-BF4C1CDA7D99}">
  <dimension ref="A1:S37"/>
  <sheetViews>
    <sheetView workbookViewId="0"/>
  </sheetViews>
  <sheetFormatPr baseColWidth="10" defaultColWidth="11" defaultRowHeight="16" outlineLevelCol="1" x14ac:dyDescent="0.2"/>
  <cols>
    <col min="1" max="1" width="4" style="252" customWidth="1"/>
    <col min="2" max="2" width="11.5" customWidth="1"/>
    <col min="12" max="12" width="12.83203125" hidden="1" customWidth="1" outlineLevel="1"/>
    <col min="13" max="18" width="10.83203125" hidden="1" customWidth="1" outlineLevel="1"/>
    <col min="19" max="19" width="13.1640625" customWidth="1" collapsed="1"/>
    <col min="20" max="20" width="12" customWidth="1"/>
    <col min="21" max="21" width="13.6640625" customWidth="1"/>
  </cols>
  <sheetData>
    <row r="1" spans="1:17" x14ac:dyDescent="0.2">
      <c r="A1" s="347"/>
      <c r="B1" s="226" t="s">
        <v>433</v>
      </c>
      <c r="C1" s="225" t="s">
        <v>432</v>
      </c>
      <c r="D1" s="225" t="s">
        <v>431</v>
      </c>
      <c r="E1" s="225" t="s">
        <v>430</v>
      </c>
      <c r="F1" s="224"/>
      <c r="G1" s="224"/>
      <c r="H1" s="224"/>
      <c r="I1" s="224"/>
      <c r="J1" s="223"/>
      <c r="K1" s="188" t="s">
        <v>177</v>
      </c>
      <c r="L1" s="188"/>
    </row>
    <row r="2" spans="1:17" x14ac:dyDescent="0.2">
      <c r="A2" s="298"/>
      <c r="B2" s="346" t="s">
        <v>429</v>
      </c>
      <c r="C2" s="345">
        <v>4</v>
      </c>
      <c r="D2" s="195"/>
      <c r="E2" s="195"/>
      <c r="F2" s="195"/>
      <c r="G2" s="195"/>
      <c r="H2" s="195"/>
      <c r="I2" s="195"/>
      <c r="J2" s="194"/>
    </row>
    <row r="3" spans="1:17" x14ac:dyDescent="0.2">
      <c r="A3" s="298"/>
      <c r="B3" s="195"/>
      <c r="C3" s="195"/>
      <c r="D3" s="195"/>
      <c r="E3" s="195"/>
      <c r="F3" s="195"/>
      <c r="G3" s="195"/>
      <c r="H3" s="195"/>
      <c r="I3" s="195"/>
      <c r="J3" s="194"/>
      <c r="L3" s="188" t="s">
        <v>428</v>
      </c>
    </row>
    <row r="4" spans="1:17" x14ac:dyDescent="0.2">
      <c r="A4" s="298"/>
      <c r="B4" s="195"/>
      <c r="C4" s="195" t="s">
        <v>427</v>
      </c>
      <c r="D4" s="195"/>
      <c r="E4" s="195"/>
      <c r="F4" s="195"/>
      <c r="G4" s="195"/>
      <c r="H4" s="195"/>
      <c r="I4" s="195"/>
      <c r="J4" s="194"/>
      <c r="L4" t="s">
        <v>426</v>
      </c>
    </row>
    <row r="5" spans="1:17" x14ac:dyDescent="0.2">
      <c r="A5" s="298"/>
      <c r="B5" s="195"/>
      <c r="C5" s="195"/>
      <c r="D5" s="195"/>
      <c r="E5" s="195"/>
      <c r="F5" s="195"/>
      <c r="G5" s="195"/>
      <c r="H5" s="195"/>
      <c r="I5" s="195"/>
      <c r="J5" s="194"/>
    </row>
    <row r="6" spans="1:17" x14ac:dyDescent="0.2">
      <c r="A6" s="298"/>
      <c r="B6" s="195"/>
      <c r="C6" s="195"/>
      <c r="D6" s="222"/>
      <c r="E6" s="344" t="s">
        <v>270</v>
      </c>
      <c r="F6" s="211"/>
      <c r="G6" s="210"/>
      <c r="H6" s="195"/>
      <c r="I6" s="195"/>
      <c r="J6" s="194"/>
      <c r="L6" s="185" t="s">
        <v>17</v>
      </c>
      <c r="M6" s="334" t="s">
        <v>425</v>
      </c>
      <c r="N6" s="334" t="s">
        <v>251</v>
      </c>
      <c r="O6" s="186" t="s">
        <v>20</v>
      </c>
      <c r="P6" s="185" t="s">
        <v>424</v>
      </c>
      <c r="Q6" s="186" t="s">
        <v>423</v>
      </c>
    </row>
    <row r="7" spans="1:17" x14ac:dyDescent="0.2">
      <c r="A7" s="298"/>
      <c r="B7" s="195"/>
      <c r="C7" s="195"/>
      <c r="D7" s="221" t="s">
        <v>272</v>
      </c>
      <c r="E7" s="343" t="s">
        <v>422</v>
      </c>
      <c r="F7" s="214" t="s">
        <v>249</v>
      </c>
      <c r="G7" s="342" t="s">
        <v>421</v>
      </c>
      <c r="H7" s="195"/>
      <c r="I7" s="195"/>
      <c r="J7" s="194"/>
      <c r="L7" s="182">
        <f>D9</f>
        <v>2008</v>
      </c>
      <c r="M7" s="329">
        <f>E9</f>
        <v>13500</v>
      </c>
      <c r="N7" s="329">
        <f>G9</f>
        <v>7200</v>
      </c>
      <c r="O7" s="340">
        <f>F9</f>
        <v>0.78900000000000003</v>
      </c>
      <c r="P7" s="332">
        <f>M7*O7</f>
        <v>10651.5</v>
      </c>
      <c r="Q7" s="329">
        <f>M7*$M$12*($M$16-O7)</f>
        <v>1236.0221314047549</v>
      </c>
    </row>
    <row r="8" spans="1:17" x14ac:dyDescent="0.2">
      <c r="A8" s="298"/>
      <c r="B8" s="195"/>
      <c r="C8" s="195"/>
      <c r="D8" s="218" t="s">
        <v>420</v>
      </c>
      <c r="E8" s="341" t="s">
        <v>419</v>
      </c>
      <c r="F8" s="209" t="s">
        <v>418</v>
      </c>
      <c r="G8" s="208" t="s">
        <v>251</v>
      </c>
      <c r="H8" s="195"/>
      <c r="I8" s="195"/>
      <c r="J8" s="194"/>
      <c r="L8" s="182">
        <f>D10</f>
        <v>2009</v>
      </c>
      <c r="M8" s="329">
        <f>E10</f>
        <v>14000</v>
      </c>
      <c r="N8" s="329">
        <f>G10</f>
        <v>5700</v>
      </c>
      <c r="O8" s="340">
        <f>F10</f>
        <v>0.57899999999999996</v>
      </c>
      <c r="P8" s="332">
        <f>M8*O8</f>
        <v>8105.9999999999991</v>
      </c>
      <c r="Q8" s="329">
        <f>M8*$M$12*($M$16-O8)</f>
        <v>3307.0915735784042</v>
      </c>
    </row>
    <row r="9" spans="1:17" x14ac:dyDescent="0.2">
      <c r="A9" s="298"/>
      <c r="B9" s="195"/>
      <c r="C9" s="195"/>
      <c r="D9" s="222">
        <v>2008</v>
      </c>
      <c r="E9" s="339">
        <v>13500</v>
      </c>
      <c r="F9" s="338">
        <v>0.78900000000000003</v>
      </c>
      <c r="G9" s="337">
        <v>7200</v>
      </c>
      <c r="H9" s="195"/>
      <c r="I9" s="195"/>
      <c r="J9" s="194"/>
      <c r="L9" s="185">
        <f>D11</f>
        <v>2010</v>
      </c>
      <c r="M9" s="334">
        <f>E11</f>
        <v>14500</v>
      </c>
      <c r="N9" s="334">
        <f>G11</f>
        <v>1400</v>
      </c>
      <c r="O9" s="336">
        <f>F11</f>
        <v>0.13800000000000001</v>
      </c>
      <c r="P9" s="335">
        <f>M9*O9</f>
        <v>2001.0000000000002</v>
      </c>
      <c r="Q9" s="334">
        <f>M9*$M$12*($M$16-O9)</f>
        <v>7830.209574173904</v>
      </c>
    </row>
    <row r="10" spans="1:17" x14ac:dyDescent="0.2">
      <c r="A10" s="298"/>
      <c r="B10" s="195"/>
      <c r="C10" s="195"/>
      <c r="D10" s="221">
        <v>2009</v>
      </c>
      <c r="E10" s="265">
        <v>14000</v>
      </c>
      <c r="F10" s="333">
        <v>0.57899999999999996</v>
      </c>
      <c r="G10" s="268">
        <v>5700</v>
      </c>
      <c r="H10" s="195"/>
      <c r="I10" s="195"/>
      <c r="J10" s="194"/>
      <c r="L10" s="182" t="s">
        <v>152</v>
      </c>
      <c r="M10" s="181"/>
      <c r="N10" s="329">
        <f>SUM(N7:N9)</f>
        <v>14300</v>
      </c>
      <c r="P10" s="332">
        <f>SUM(P7:P9)</f>
        <v>20758.5</v>
      </c>
      <c r="Q10" s="329">
        <f>SUM(Q7:Q9)</f>
        <v>12373.323279157063</v>
      </c>
    </row>
    <row r="11" spans="1:17" x14ac:dyDescent="0.2">
      <c r="A11" s="298"/>
      <c r="B11" s="195"/>
      <c r="C11" s="195"/>
      <c r="D11" s="218">
        <v>2010</v>
      </c>
      <c r="E11" s="262">
        <v>14500</v>
      </c>
      <c r="F11" s="331">
        <v>0.13800000000000001</v>
      </c>
      <c r="G11" s="330">
        <v>1400</v>
      </c>
      <c r="H11" s="195"/>
      <c r="I11" s="195"/>
      <c r="J11" s="194"/>
      <c r="M11" s="181"/>
      <c r="N11" s="181"/>
      <c r="Q11" s="329"/>
    </row>
    <row r="12" spans="1:17" x14ac:dyDescent="0.2">
      <c r="A12" s="298"/>
      <c r="B12" s="195"/>
      <c r="C12" s="195"/>
      <c r="D12" s="328" t="s">
        <v>152</v>
      </c>
      <c r="E12" s="327">
        <v>42000</v>
      </c>
      <c r="F12" s="270"/>
      <c r="G12" s="326">
        <v>14300</v>
      </c>
      <c r="H12" s="195"/>
      <c r="I12" s="195"/>
      <c r="J12" s="194"/>
      <c r="L12" s="178" t="s">
        <v>253</v>
      </c>
      <c r="M12" s="325">
        <f>N10/P10</f>
        <v>0.68887443697762363</v>
      </c>
    </row>
    <row r="13" spans="1:17" x14ac:dyDescent="0.2">
      <c r="A13" s="298"/>
      <c r="B13" s="214"/>
      <c r="C13" s="195"/>
      <c r="D13" s="195"/>
      <c r="E13" s="195"/>
      <c r="F13" s="195"/>
      <c r="G13" s="195"/>
      <c r="H13" s="195"/>
      <c r="I13" s="195"/>
      <c r="J13" s="194"/>
    </row>
    <row r="14" spans="1:17" x14ac:dyDescent="0.2">
      <c r="A14" s="298"/>
      <c r="B14" s="214"/>
      <c r="C14" s="195" t="s">
        <v>417</v>
      </c>
      <c r="D14" s="195"/>
      <c r="E14" s="195"/>
      <c r="F14" s="195"/>
      <c r="G14" s="195"/>
      <c r="H14" s="195"/>
      <c r="I14" s="259">
        <v>796</v>
      </c>
      <c r="J14" s="194"/>
      <c r="L14" t="s">
        <v>416</v>
      </c>
    </row>
    <row r="15" spans="1:17" x14ac:dyDescent="0.2">
      <c r="A15" s="298"/>
      <c r="B15" s="214"/>
      <c r="C15" s="195" t="s">
        <v>415</v>
      </c>
      <c r="D15" s="195"/>
      <c r="E15" s="195"/>
      <c r="F15" s="195"/>
      <c r="G15" s="195"/>
      <c r="H15" s="195"/>
      <c r="I15" s="195"/>
      <c r="J15" s="194"/>
      <c r="L15" t="s">
        <v>414</v>
      </c>
      <c r="M15" s="316">
        <f>60-6</f>
        <v>54</v>
      </c>
    </row>
    <row r="16" spans="1:17" ht="18" x14ac:dyDescent="0.25">
      <c r="A16" s="298"/>
      <c r="B16" s="214"/>
      <c r="C16" s="195" t="s">
        <v>413</v>
      </c>
      <c r="D16" s="195"/>
      <c r="E16" s="195"/>
      <c r="F16" s="195"/>
      <c r="G16" s="195"/>
      <c r="H16" s="195"/>
      <c r="I16" s="195"/>
      <c r="J16" s="194"/>
      <c r="L16" t="s">
        <v>412</v>
      </c>
      <c r="M16" s="324">
        <f>(M15)^D25/((M15)^D25+(F25)^D25)</f>
        <v>0.92190839375687961</v>
      </c>
    </row>
    <row r="17" spans="1:17" ht="17" thickBot="1" x14ac:dyDescent="0.25">
      <c r="A17" s="298"/>
      <c r="B17" s="214"/>
      <c r="C17" s="195"/>
      <c r="D17" s="195"/>
      <c r="E17" s="195"/>
      <c r="F17" s="195"/>
      <c r="G17" s="195"/>
      <c r="H17" s="195"/>
      <c r="I17" s="195"/>
      <c r="J17" s="194"/>
    </row>
    <row r="18" spans="1:17" ht="17" thickBot="1" x14ac:dyDescent="0.25">
      <c r="A18" s="298"/>
      <c r="B18" s="214"/>
      <c r="C18" s="195"/>
      <c r="D18" s="195"/>
      <c r="E18" s="195"/>
      <c r="F18" s="195"/>
      <c r="G18" s="195"/>
      <c r="H18" s="195"/>
      <c r="I18" s="195"/>
      <c r="J18" s="194"/>
      <c r="L18" s="320" t="s">
        <v>411</v>
      </c>
      <c r="M18" s="323">
        <f>Q10</f>
        <v>12373.323279157063</v>
      </c>
    </row>
    <row r="19" spans="1:17" x14ac:dyDescent="0.2">
      <c r="A19" s="298"/>
      <c r="B19" s="214"/>
      <c r="C19" s="195"/>
      <c r="D19" s="195"/>
      <c r="E19" s="195"/>
      <c r="F19" s="195"/>
      <c r="G19" s="195"/>
      <c r="H19" s="195"/>
      <c r="I19" s="195"/>
      <c r="J19" s="194"/>
    </row>
    <row r="20" spans="1:17" x14ac:dyDescent="0.2">
      <c r="A20" s="298"/>
      <c r="B20" s="214"/>
      <c r="C20" s="195" t="s">
        <v>410</v>
      </c>
      <c r="D20" s="195"/>
      <c r="E20" s="195"/>
      <c r="F20" s="195"/>
      <c r="G20" s="195"/>
      <c r="H20" s="195"/>
      <c r="I20" s="195"/>
      <c r="J20" s="194"/>
      <c r="L20" s="7" t="s">
        <v>409</v>
      </c>
    </row>
    <row r="21" spans="1:17" x14ac:dyDescent="0.2">
      <c r="A21" s="298"/>
      <c r="B21" s="214"/>
      <c r="C21" s="195" t="s">
        <v>408</v>
      </c>
      <c r="D21" s="195"/>
      <c r="E21" s="195"/>
      <c r="F21" s="195"/>
      <c r="G21" s="195"/>
      <c r="H21" s="195"/>
      <c r="I21" s="195"/>
      <c r="J21" s="194"/>
    </row>
    <row r="22" spans="1:17" x14ac:dyDescent="0.2">
      <c r="A22" s="298"/>
      <c r="B22" s="214"/>
      <c r="C22" s="195"/>
      <c r="D22" s="195"/>
      <c r="E22" s="195"/>
      <c r="F22" s="195"/>
      <c r="G22" s="195"/>
      <c r="H22" s="195"/>
      <c r="I22" s="195"/>
      <c r="J22" s="194"/>
      <c r="L22" t="s">
        <v>407</v>
      </c>
      <c r="M22" s="181">
        <f>F28*Q10</f>
        <v>111359.90951241356</v>
      </c>
    </row>
    <row r="23" spans="1:17" x14ac:dyDescent="0.2">
      <c r="A23" s="298"/>
      <c r="B23" s="195"/>
      <c r="C23" s="195" t="s">
        <v>406</v>
      </c>
      <c r="D23" s="195"/>
      <c r="E23" s="195"/>
      <c r="F23" s="195"/>
      <c r="G23" s="195"/>
      <c r="H23" s="195"/>
      <c r="I23" s="195"/>
      <c r="J23" s="194"/>
      <c r="L23" s="316" t="s">
        <v>405</v>
      </c>
      <c r="M23" s="181">
        <f>SQRT(M22+(I14)^2)</f>
        <v>863.11986972402246</v>
      </c>
    </row>
    <row r="24" spans="1:17" ht="17" thickBot="1" x14ac:dyDescent="0.25">
      <c r="A24" s="298"/>
      <c r="B24" s="195"/>
      <c r="C24" s="197"/>
      <c r="D24" s="195"/>
      <c r="E24" s="195"/>
      <c r="F24" s="195"/>
      <c r="G24" s="195"/>
      <c r="H24" s="195"/>
      <c r="I24" s="195"/>
      <c r="J24" s="194"/>
      <c r="M24" s="181"/>
    </row>
    <row r="25" spans="1:17" ht="17" thickBot="1" x14ac:dyDescent="0.25">
      <c r="A25" s="298"/>
      <c r="B25" s="195"/>
      <c r="C25" s="322" t="s">
        <v>404</v>
      </c>
      <c r="D25" s="259">
        <v>1.956</v>
      </c>
      <c r="E25" s="321" t="s">
        <v>403</v>
      </c>
      <c r="F25" s="259">
        <v>15.286</v>
      </c>
      <c r="G25" s="195"/>
      <c r="H25" s="195"/>
      <c r="I25" s="195"/>
      <c r="J25" s="194"/>
      <c r="L25" s="320" t="s">
        <v>77</v>
      </c>
      <c r="M25" s="319">
        <f>M23/Q10</f>
        <v>6.9756511670389557E-2</v>
      </c>
    </row>
    <row r="26" spans="1:17" x14ac:dyDescent="0.2">
      <c r="A26" s="298"/>
      <c r="B26" s="195"/>
      <c r="C26" s="197"/>
      <c r="D26" s="195"/>
      <c r="E26" s="195"/>
      <c r="F26" s="195"/>
      <c r="G26" s="195"/>
      <c r="H26" s="195"/>
      <c r="I26" s="195"/>
      <c r="J26" s="194"/>
    </row>
    <row r="27" spans="1:17" x14ac:dyDescent="0.2">
      <c r="A27" s="298"/>
      <c r="B27" s="195"/>
      <c r="C27" s="197" t="s">
        <v>402</v>
      </c>
      <c r="D27" s="195"/>
      <c r="E27" s="195"/>
      <c r="F27" s="195"/>
      <c r="G27" s="195"/>
      <c r="H27" s="195"/>
      <c r="I27" s="195"/>
      <c r="J27" s="194"/>
      <c r="L27" s="316"/>
      <c r="M27" s="316"/>
      <c r="N27" s="316"/>
      <c r="O27" s="316"/>
      <c r="P27" s="316"/>
      <c r="Q27" s="316"/>
    </row>
    <row r="28" spans="1:17" ht="19" x14ac:dyDescent="0.2">
      <c r="A28" s="298"/>
      <c r="B28" s="195"/>
      <c r="C28" s="197" t="s">
        <v>401</v>
      </c>
      <c r="D28" s="195"/>
      <c r="E28" s="195"/>
      <c r="F28" s="259">
        <v>9</v>
      </c>
      <c r="G28" s="195"/>
      <c r="H28" s="195"/>
      <c r="I28" s="195"/>
      <c r="J28" s="194"/>
      <c r="L28" s="318" t="s">
        <v>220</v>
      </c>
      <c r="M28" s="316"/>
      <c r="N28" s="316"/>
      <c r="O28" s="316"/>
      <c r="P28" s="316"/>
      <c r="Q28" s="316"/>
    </row>
    <row r="29" spans="1:17" x14ac:dyDescent="0.2">
      <c r="A29" s="298"/>
      <c r="B29" s="195"/>
      <c r="C29" s="197"/>
      <c r="D29" s="195"/>
      <c r="E29" s="195"/>
      <c r="F29" s="195"/>
      <c r="G29" s="195"/>
      <c r="H29" s="195"/>
      <c r="I29" s="195"/>
      <c r="J29" s="194"/>
      <c r="L29" s="317" t="s">
        <v>400</v>
      </c>
      <c r="M29" s="317"/>
      <c r="N29" s="317"/>
      <c r="O29" s="317"/>
      <c r="P29" s="316"/>
      <c r="Q29" s="316"/>
    </row>
    <row r="30" spans="1:17" x14ac:dyDescent="0.2">
      <c r="A30" s="298" t="s">
        <v>0</v>
      </c>
      <c r="B30" s="195" t="s">
        <v>399</v>
      </c>
      <c r="C30" s="197" t="s">
        <v>398</v>
      </c>
      <c r="D30" s="195"/>
      <c r="E30" s="195"/>
      <c r="F30" s="195"/>
      <c r="G30" s="195"/>
      <c r="H30" s="195"/>
      <c r="I30" s="195"/>
      <c r="J30" s="194"/>
    </row>
    <row r="31" spans="1:17" x14ac:dyDescent="0.2">
      <c r="A31" s="298"/>
      <c r="B31" s="195"/>
      <c r="C31" s="197" t="s">
        <v>397</v>
      </c>
      <c r="D31" s="195"/>
      <c r="E31" s="195"/>
      <c r="F31" s="195"/>
      <c r="G31" s="195"/>
      <c r="H31" s="195"/>
      <c r="I31" s="195"/>
      <c r="J31" s="194"/>
    </row>
    <row r="32" spans="1:17" x14ac:dyDescent="0.2">
      <c r="A32" s="298"/>
      <c r="B32" s="195"/>
      <c r="C32" s="197"/>
      <c r="D32" s="195"/>
      <c r="E32" s="195"/>
      <c r="F32" s="195"/>
      <c r="G32" s="195"/>
      <c r="H32" s="195"/>
      <c r="I32" s="195"/>
      <c r="J32" s="194"/>
    </row>
    <row r="33" spans="1:13" x14ac:dyDescent="0.2">
      <c r="A33" s="298" t="s">
        <v>1</v>
      </c>
      <c r="B33" s="195" t="s">
        <v>396</v>
      </c>
      <c r="C33" s="197" t="s">
        <v>395</v>
      </c>
      <c r="D33" s="195"/>
      <c r="E33" s="195"/>
      <c r="F33" s="195"/>
      <c r="G33" s="195"/>
      <c r="H33" s="195"/>
      <c r="I33" s="195"/>
      <c r="J33" s="194"/>
    </row>
    <row r="34" spans="1:13" x14ac:dyDescent="0.2">
      <c r="A34" s="298"/>
      <c r="B34" s="195"/>
      <c r="C34" s="195" t="s">
        <v>394</v>
      </c>
      <c r="D34" s="195"/>
      <c r="E34" s="195"/>
      <c r="F34" s="195"/>
      <c r="G34" s="195"/>
      <c r="H34" s="195"/>
      <c r="I34" s="195"/>
      <c r="J34" s="194"/>
    </row>
    <row r="35" spans="1:13" ht="17" thickBot="1" x14ac:dyDescent="0.25">
      <c r="A35" s="295"/>
      <c r="B35" s="314"/>
      <c r="C35" s="315"/>
      <c r="D35" s="314"/>
      <c r="E35" s="314"/>
      <c r="F35" s="314"/>
      <c r="G35" s="314"/>
      <c r="H35" s="314"/>
      <c r="I35" s="314"/>
      <c r="J35" s="313"/>
    </row>
    <row r="36" spans="1:13" ht="17" thickBot="1" x14ac:dyDescent="0.25">
      <c r="A36" s="312" t="s">
        <v>176</v>
      </c>
      <c r="B36" s="190"/>
      <c r="C36" s="311"/>
      <c r="D36" s="190"/>
      <c r="E36" s="190"/>
      <c r="F36" s="190"/>
      <c r="G36" s="190"/>
      <c r="H36" s="190"/>
      <c r="I36" s="190"/>
      <c r="J36" s="189"/>
    </row>
    <row r="37" spans="1:13" x14ac:dyDescent="0.2">
      <c r="L37" s="188"/>
      <c r="M37" s="310"/>
    </row>
  </sheetData>
  <mergeCells count="1">
    <mergeCell ref="L29:O29"/>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478B6-8DD6-3A4B-9258-F8043AF11E09}">
  <dimension ref="A1:S38"/>
  <sheetViews>
    <sheetView workbookViewId="0"/>
  </sheetViews>
  <sheetFormatPr baseColWidth="10" defaultColWidth="11" defaultRowHeight="16" outlineLevelCol="1" x14ac:dyDescent="0.2"/>
  <cols>
    <col min="1" max="1" width="4" style="252" customWidth="1"/>
    <col min="2" max="2" width="11.5" customWidth="1"/>
    <col min="12" max="12" width="15.33203125" hidden="1" customWidth="1" outlineLevel="1"/>
    <col min="13" max="18" width="10.83203125" hidden="1" customWidth="1" outlineLevel="1"/>
    <col min="19" max="19" width="11" collapsed="1"/>
  </cols>
  <sheetData>
    <row r="1" spans="1:18" x14ac:dyDescent="0.2">
      <c r="A1" s="347"/>
      <c r="B1" s="226" t="s">
        <v>433</v>
      </c>
      <c r="C1" s="225" t="s">
        <v>460</v>
      </c>
      <c r="D1" s="225" t="s">
        <v>431</v>
      </c>
      <c r="E1" s="225" t="s">
        <v>430</v>
      </c>
      <c r="F1" s="224"/>
      <c r="G1" s="224"/>
      <c r="H1" s="224"/>
      <c r="I1" s="224"/>
      <c r="J1" s="223"/>
      <c r="K1" s="188" t="s">
        <v>177</v>
      </c>
    </row>
    <row r="2" spans="1:18" x14ac:dyDescent="0.2">
      <c r="A2" s="298"/>
      <c r="B2" s="346" t="s">
        <v>429</v>
      </c>
      <c r="C2" s="345">
        <v>3.5</v>
      </c>
      <c r="D2" s="195"/>
      <c r="E2" s="195"/>
      <c r="F2" s="195"/>
      <c r="G2" s="195"/>
      <c r="H2" s="195"/>
      <c r="I2" s="195"/>
      <c r="J2" s="194"/>
      <c r="L2" s="188" t="s">
        <v>428</v>
      </c>
    </row>
    <row r="3" spans="1:18" x14ac:dyDescent="0.2">
      <c r="A3" s="298"/>
      <c r="B3" s="195"/>
      <c r="C3" s="195"/>
      <c r="D3" s="195"/>
      <c r="E3" s="195"/>
      <c r="F3" s="195"/>
      <c r="G3" s="195"/>
      <c r="H3" s="195"/>
      <c r="I3" s="195"/>
      <c r="J3" s="194"/>
    </row>
    <row r="4" spans="1:18" ht="16" customHeight="1" x14ac:dyDescent="0.2">
      <c r="A4" s="298"/>
      <c r="B4" s="195"/>
      <c r="C4" s="195" t="s">
        <v>459</v>
      </c>
      <c r="D4" s="195"/>
      <c r="E4" s="195"/>
      <c r="F4" s="195"/>
      <c r="G4" s="195"/>
      <c r="H4" s="195"/>
      <c r="I4" s="195"/>
      <c r="J4" s="194"/>
      <c r="L4" s="355"/>
      <c r="M4" s="355"/>
      <c r="N4" s="355" t="s">
        <v>458</v>
      </c>
      <c r="O4" s="355"/>
      <c r="P4" s="355"/>
      <c r="Q4" s="380"/>
      <c r="R4" s="379" t="s">
        <v>457</v>
      </c>
    </row>
    <row r="5" spans="1:18" ht="17" x14ac:dyDescent="0.2">
      <c r="A5" s="298"/>
      <c r="B5" s="195"/>
      <c r="C5" s="195"/>
      <c r="D5" s="195"/>
      <c r="E5" s="195"/>
      <c r="F5" s="195"/>
      <c r="G5" s="195"/>
      <c r="H5" s="195"/>
      <c r="I5" s="195"/>
      <c r="J5" s="194"/>
      <c r="L5" s="369" t="s">
        <v>17</v>
      </c>
      <c r="M5" s="366" t="s">
        <v>425</v>
      </c>
      <c r="N5" s="366" t="s">
        <v>456</v>
      </c>
      <c r="O5" s="366" t="s">
        <v>20</v>
      </c>
      <c r="P5" s="366" t="s">
        <v>424</v>
      </c>
      <c r="Q5" s="378" t="s">
        <v>45</v>
      </c>
      <c r="R5" s="377"/>
    </row>
    <row r="6" spans="1:18" ht="16" customHeight="1" x14ac:dyDescent="0.2">
      <c r="A6" s="298"/>
      <c r="B6" s="195"/>
      <c r="C6" s="195"/>
      <c r="D6" s="376"/>
      <c r="E6" s="376"/>
      <c r="F6" s="375"/>
      <c r="G6" s="210" t="s">
        <v>455</v>
      </c>
      <c r="H6" s="195"/>
      <c r="I6" s="195"/>
      <c r="J6" s="194"/>
      <c r="L6" s="374">
        <v>2008</v>
      </c>
      <c r="M6" s="373">
        <f>E9/1000</f>
        <v>1300</v>
      </c>
      <c r="N6" s="370">
        <f>F9/1000</f>
        <v>600</v>
      </c>
      <c r="O6" s="372">
        <f>G9</f>
        <v>0.7</v>
      </c>
      <c r="P6" s="355">
        <f>O6*M6</f>
        <v>909.99999999999989</v>
      </c>
      <c r="Q6" s="371">
        <f>1-O6</f>
        <v>0.30000000000000004</v>
      </c>
      <c r="R6" s="370">
        <f>Q6*M6*$M$12</f>
        <v>254.12234042553195</v>
      </c>
    </row>
    <row r="7" spans="1:18" ht="16" customHeight="1" x14ac:dyDescent="0.2">
      <c r="A7" s="298"/>
      <c r="B7" s="195"/>
      <c r="C7" s="195"/>
      <c r="D7" s="343" t="s">
        <v>454</v>
      </c>
      <c r="E7" s="343" t="s">
        <v>453</v>
      </c>
      <c r="F7" s="214" t="s">
        <v>452</v>
      </c>
      <c r="G7" s="342" t="s">
        <v>451</v>
      </c>
      <c r="H7" s="195"/>
      <c r="I7" s="195"/>
      <c r="J7" s="194"/>
      <c r="L7" s="374">
        <v>2009</v>
      </c>
      <c r="M7" s="373">
        <f>E10/1000</f>
        <v>1200</v>
      </c>
      <c r="N7" s="370">
        <f>F10/1000</f>
        <v>350</v>
      </c>
      <c r="O7" s="372">
        <f>G10</f>
        <v>0.45</v>
      </c>
      <c r="P7" s="355">
        <f>O7*M7</f>
        <v>540</v>
      </c>
      <c r="Q7" s="371">
        <f>1-O7</f>
        <v>0.55000000000000004</v>
      </c>
      <c r="R7" s="370">
        <f>Q7*M7*$M$12</f>
        <v>430.05319148936167</v>
      </c>
    </row>
    <row r="8" spans="1:18" ht="16" customHeight="1" x14ac:dyDescent="0.2">
      <c r="A8" s="298"/>
      <c r="B8" s="195"/>
      <c r="C8" s="195"/>
      <c r="D8" s="341" t="s">
        <v>420</v>
      </c>
      <c r="E8" s="341" t="s">
        <v>450</v>
      </c>
      <c r="F8" s="209" t="s">
        <v>449</v>
      </c>
      <c r="G8" s="208" t="s">
        <v>448</v>
      </c>
      <c r="H8" s="195"/>
      <c r="I8" s="195"/>
      <c r="J8" s="194"/>
      <c r="L8" s="374">
        <v>2010</v>
      </c>
      <c r="M8" s="373">
        <f>E11/1000</f>
        <v>1200</v>
      </c>
      <c r="N8" s="370">
        <f>F11/1000</f>
        <v>200</v>
      </c>
      <c r="O8" s="372">
        <f>G11</f>
        <v>0.25</v>
      </c>
      <c r="P8" s="355">
        <f>O8*M8</f>
        <v>300</v>
      </c>
      <c r="Q8" s="371">
        <f>1-O8</f>
        <v>0.75</v>
      </c>
      <c r="R8" s="370">
        <f>Q8*M8*$M$12</f>
        <v>586.43617021276589</v>
      </c>
    </row>
    <row r="9" spans="1:18" x14ac:dyDescent="0.2">
      <c r="A9" s="298"/>
      <c r="B9" s="195"/>
      <c r="C9" s="195"/>
      <c r="D9" s="221">
        <v>2008</v>
      </c>
      <c r="E9" s="361">
        <v>1300000</v>
      </c>
      <c r="F9" s="361">
        <v>600000</v>
      </c>
      <c r="G9" s="360">
        <v>0.7</v>
      </c>
      <c r="H9" s="195"/>
      <c r="I9" s="195"/>
      <c r="J9" s="194"/>
      <c r="L9" s="369">
        <v>2011</v>
      </c>
      <c r="M9" s="368">
        <f>E12/1000</f>
        <v>1300</v>
      </c>
      <c r="N9" s="364">
        <f>F12/1000</f>
        <v>75</v>
      </c>
      <c r="O9" s="367">
        <f>G12</f>
        <v>0.1</v>
      </c>
      <c r="P9" s="366">
        <f>O9*M9</f>
        <v>130</v>
      </c>
      <c r="Q9" s="365">
        <f>1-O9</f>
        <v>0.9</v>
      </c>
      <c r="R9" s="364">
        <f>Q9*M9*$M$12</f>
        <v>762.36702127659566</v>
      </c>
    </row>
    <row r="10" spans="1:18" x14ac:dyDescent="0.2">
      <c r="A10" s="298"/>
      <c r="B10" s="195"/>
      <c r="C10" s="195"/>
      <c r="D10" s="221">
        <v>2009</v>
      </c>
      <c r="E10" s="361">
        <v>1200000</v>
      </c>
      <c r="F10" s="361">
        <v>350000</v>
      </c>
      <c r="G10" s="360">
        <v>0.45</v>
      </c>
      <c r="H10" s="195"/>
      <c r="I10" s="195"/>
      <c r="J10" s="194"/>
      <c r="L10" s="285"/>
      <c r="N10" s="362">
        <f>SUM(N6:N9)</f>
        <v>1225</v>
      </c>
      <c r="P10" s="363">
        <f>SUM(P6:P9)</f>
        <v>1880</v>
      </c>
      <c r="Q10" s="285"/>
      <c r="R10" s="362">
        <f>SUM(R6:R9)</f>
        <v>2032.9787234042551</v>
      </c>
    </row>
    <row r="11" spans="1:18" x14ac:dyDescent="0.2">
      <c r="A11" s="298"/>
      <c r="B11" s="195"/>
      <c r="C11" s="195"/>
      <c r="D11" s="221">
        <v>2010</v>
      </c>
      <c r="E11" s="361">
        <v>1200000</v>
      </c>
      <c r="F11" s="361">
        <v>200000</v>
      </c>
      <c r="G11" s="360">
        <v>0.25</v>
      </c>
      <c r="H11" s="195"/>
      <c r="I11" s="195"/>
      <c r="J11" s="194"/>
    </row>
    <row r="12" spans="1:18" x14ac:dyDescent="0.2">
      <c r="A12" s="298"/>
      <c r="B12" s="195"/>
      <c r="C12" s="195"/>
      <c r="D12" s="218">
        <v>2011</v>
      </c>
      <c r="E12" s="359">
        <v>1300000</v>
      </c>
      <c r="F12" s="359">
        <v>75000</v>
      </c>
      <c r="G12" s="358">
        <v>0.1</v>
      </c>
      <c r="H12" s="195"/>
      <c r="I12" s="195"/>
      <c r="J12" s="194"/>
      <c r="L12" s="355" t="s">
        <v>253</v>
      </c>
      <c r="M12" s="357">
        <f>N10/P10</f>
        <v>0.65159574468085102</v>
      </c>
    </row>
    <row r="13" spans="1:18" ht="17" thickBot="1" x14ac:dyDescent="0.25">
      <c r="A13" s="298"/>
      <c r="B13" s="214"/>
      <c r="C13" s="195"/>
      <c r="D13" s="195"/>
      <c r="E13" s="195"/>
      <c r="F13" s="195"/>
      <c r="G13" s="195"/>
      <c r="H13" s="195"/>
      <c r="I13" s="195"/>
      <c r="J13" s="194"/>
    </row>
    <row r="14" spans="1:18" ht="17" customHeight="1" thickBot="1" x14ac:dyDescent="0.25">
      <c r="A14" s="298"/>
      <c r="B14" s="214"/>
      <c r="C14" s="195" t="s">
        <v>447</v>
      </c>
      <c r="D14" s="195"/>
      <c r="E14" s="195"/>
      <c r="F14" s="195"/>
      <c r="G14" s="356">
        <v>300000</v>
      </c>
      <c r="H14" s="195"/>
      <c r="I14" s="195"/>
      <c r="J14" s="194"/>
      <c r="L14" s="352" t="s">
        <v>446</v>
      </c>
      <c r="M14" s="351">
        <f>R10*1000</f>
        <v>2032978.723404255</v>
      </c>
    </row>
    <row r="15" spans="1:18" ht="19" x14ac:dyDescent="0.2">
      <c r="A15" s="298"/>
      <c r="B15" s="214"/>
      <c r="C15" s="195" t="s">
        <v>445</v>
      </c>
      <c r="D15" s="195"/>
      <c r="E15" s="195"/>
      <c r="F15" s="195"/>
      <c r="G15" s="356">
        <v>10000</v>
      </c>
      <c r="H15" s="195"/>
      <c r="I15" s="195"/>
      <c r="J15" s="194"/>
    </row>
    <row r="16" spans="1:18" x14ac:dyDescent="0.2">
      <c r="A16" s="298"/>
      <c r="B16" s="214"/>
      <c r="C16" s="195"/>
      <c r="D16" s="195"/>
      <c r="E16" s="195"/>
      <c r="F16" s="195"/>
      <c r="G16" s="195"/>
      <c r="H16" s="195"/>
      <c r="I16" s="195"/>
      <c r="J16" s="194"/>
    </row>
    <row r="17" spans="1:19" x14ac:dyDescent="0.2">
      <c r="A17" s="298" t="s">
        <v>0</v>
      </c>
      <c r="B17" s="259" t="s">
        <v>444</v>
      </c>
      <c r="C17" s="195" t="s">
        <v>443</v>
      </c>
      <c r="D17" s="195"/>
      <c r="E17" s="195"/>
      <c r="F17" s="195"/>
      <c r="G17" s="195"/>
      <c r="H17" s="195"/>
      <c r="I17" s="195"/>
      <c r="J17" s="194"/>
      <c r="L17" s="188" t="s">
        <v>409</v>
      </c>
    </row>
    <row r="18" spans="1:19" x14ac:dyDescent="0.2">
      <c r="A18" s="298"/>
      <c r="B18" s="214"/>
      <c r="C18" s="195"/>
      <c r="D18" s="195"/>
      <c r="E18" s="195"/>
      <c r="F18" s="195"/>
      <c r="G18" s="195"/>
      <c r="H18" s="195"/>
      <c r="I18" s="195"/>
      <c r="J18" s="194"/>
    </row>
    <row r="19" spans="1:19" x14ac:dyDescent="0.2">
      <c r="A19" s="298" t="s">
        <v>1</v>
      </c>
      <c r="B19" s="259" t="s">
        <v>442</v>
      </c>
      <c r="C19" s="195" t="s">
        <v>441</v>
      </c>
      <c r="D19" s="195"/>
      <c r="E19" s="195"/>
      <c r="F19" s="195"/>
      <c r="G19" s="195"/>
      <c r="H19" s="195"/>
      <c r="I19" s="195"/>
      <c r="J19" s="194"/>
      <c r="L19" s="355" t="s">
        <v>440</v>
      </c>
      <c r="M19" s="354">
        <f>G15*M14</f>
        <v>20329787234.042549</v>
      </c>
    </row>
    <row r="20" spans="1:19" ht="17" thickBot="1" x14ac:dyDescent="0.25">
      <c r="A20" s="298"/>
      <c r="B20" s="214"/>
      <c r="C20" s="195"/>
      <c r="D20" s="195"/>
      <c r="E20" s="195"/>
      <c r="F20" s="195"/>
      <c r="G20" s="195"/>
      <c r="H20" s="195"/>
      <c r="I20" s="195"/>
      <c r="J20" s="194"/>
      <c r="M20" s="353"/>
    </row>
    <row r="21" spans="1:19" ht="17" thickBot="1" x14ac:dyDescent="0.25">
      <c r="A21" s="298" t="s">
        <v>2</v>
      </c>
      <c r="B21" s="259" t="s">
        <v>396</v>
      </c>
      <c r="C21" s="195" t="s">
        <v>439</v>
      </c>
      <c r="D21" s="195"/>
      <c r="E21" s="195"/>
      <c r="F21" s="195"/>
      <c r="G21" s="195"/>
      <c r="H21" s="195"/>
      <c r="I21" s="195"/>
      <c r="J21" s="194"/>
      <c r="L21" s="352" t="s">
        <v>438</v>
      </c>
      <c r="M21" s="351">
        <f>SQRT(M19)</f>
        <v>142582.56286812405</v>
      </c>
    </row>
    <row r="22" spans="1:19" x14ac:dyDescent="0.2">
      <c r="A22" s="298"/>
      <c r="B22" s="214"/>
      <c r="C22" s="195" t="s">
        <v>437</v>
      </c>
      <c r="D22" s="195"/>
      <c r="E22" s="195"/>
      <c r="F22" s="195"/>
      <c r="G22" s="195"/>
      <c r="H22" s="195"/>
      <c r="I22" s="195"/>
      <c r="J22" s="194"/>
    </row>
    <row r="23" spans="1:19" ht="16.5" customHeight="1" thickBot="1" x14ac:dyDescent="0.25">
      <c r="A23" s="298"/>
      <c r="B23" s="195"/>
      <c r="C23" s="195"/>
      <c r="D23" s="195"/>
      <c r="E23" s="195"/>
      <c r="F23" s="195"/>
      <c r="G23" s="195"/>
      <c r="H23" s="195"/>
      <c r="I23" s="195"/>
      <c r="J23" s="194"/>
      <c r="L23" s="188" t="s">
        <v>436</v>
      </c>
      <c r="O23" s="348"/>
      <c r="P23" s="348"/>
      <c r="Q23" s="348"/>
      <c r="R23" s="348"/>
      <c r="S23" s="348"/>
    </row>
    <row r="24" spans="1:19" ht="17" thickBot="1" x14ac:dyDescent="0.25">
      <c r="A24" s="312" t="s">
        <v>176</v>
      </c>
      <c r="B24" s="190"/>
      <c r="C24" s="311"/>
      <c r="D24" s="190"/>
      <c r="E24" s="190"/>
      <c r="F24" s="190"/>
      <c r="G24" s="190"/>
      <c r="H24" s="190"/>
      <c r="I24" s="190"/>
      <c r="J24" s="189"/>
    </row>
    <row r="25" spans="1:19" ht="17" thickBot="1" x14ac:dyDescent="0.25">
      <c r="L25" s="352" t="s">
        <v>435</v>
      </c>
      <c r="M25" s="351">
        <f>SQRT(M19+(G14^2))</f>
        <v>332159.27991558891</v>
      </c>
    </row>
    <row r="26" spans="1:19" ht="17" thickBot="1" x14ac:dyDescent="0.25"/>
    <row r="27" spans="1:19" ht="17" thickBot="1" x14ac:dyDescent="0.25">
      <c r="L27" s="350" t="s">
        <v>434</v>
      </c>
      <c r="M27" s="349">
        <f>M25/M14</f>
        <v>0.16338551706993909</v>
      </c>
    </row>
    <row r="29" spans="1:19" ht="19" x14ac:dyDescent="0.25">
      <c r="L29" s="174" t="s">
        <v>220</v>
      </c>
    </row>
    <row r="30" spans="1:19" x14ac:dyDescent="0.2">
      <c r="L30" s="348" t="s">
        <v>400</v>
      </c>
      <c r="M30" s="348"/>
      <c r="N30" s="348"/>
    </row>
    <row r="38" spans="15:19" ht="16" customHeight="1" x14ac:dyDescent="0.2">
      <c r="O38" s="348"/>
      <c r="P38" s="348"/>
      <c r="Q38" s="348"/>
      <c r="R38" s="348"/>
      <c r="S38" s="348"/>
    </row>
  </sheetData>
  <mergeCells count="1">
    <mergeCell ref="R4:R5"/>
  </mergeCells>
  <pageMargins left="0.7" right="0.7" top="0.75" bottom="0.75" header="0.3" footer="0.3"/>
  <pageSetup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8A849-0CFD-1A41-86E3-242E35B0BB8C}">
  <dimension ref="A1:Z70"/>
  <sheetViews>
    <sheetView workbookViewId="0"/>
  </sheetViews>
  <sheetFormatPr baseColWidth="10" defaultColWidth="11" defaultRowHeight="16" outlineLevelCol="1" x14ac:dyDescent="0.2"/>
  <cols>
    <col min="1" max="1" width="4" style="252" customWidth="1"/>
    <col min="2" max="2" width="11.5" customWidth="1"/>
    <col min="4" max="4" width="14" customWidth="1"/>
    <col min="12" max="12" width="15.33203125" hidden="1" customWidth="1" outlineLevel="1"/>
    <col min="13" max="18" width="10.83203125" hidden="1" customWidth="1" outlineLevel="1"/>
    <col min="19" max="19" width="10.83203125" customWidth="1" collapsed="1"/>
  </cols>
  <sheetData>
    <row r="1" spans="1:18" x14ac:dyDescent="0.2">
      <c r="A1" s="347"/>
      <c r="B1" s="226" t="s">
        <v>433</v>
      </c>
      <c r="C1" s="225" t="s">
        <v>488</v>
      </c>
      <c r="D1" s="225" t="s">
        <v>431</v>
      </c>
      <c r="E1" s="225" t="s">
        <v>487</v>
      </c>
      <c r="F1" s="224"/>
      <c r="G1" s="224"/>
      <c r="H1" s="224"/>
      <c r="I1" s="224"/>
      <c r="J1" s="223"/>
      <c r="K1" s="188" t="s">
        <v>177</v>
      </c>
      <c r="L1" s="188"/>
    </row>
    <row r="2" spans="1:18" x14ac:dyDescent="0.2">
      <c r="A2" s="298"/>
      <c r="B2" s="346" t="s">
        <v>429</v>
      </c>
      <c r="C2" s="345">
        <v>5</v>
      </c>
      <c r="D2" s="195"/>
      <c r="E2" s="195"/>
      <c r="F2" s="195"/>
      <c r="G2" s="195"/>
      <c r="H2" s="195"/>
      <c r="I2" s="195"/>
      <c r="J2" s="194"/>
    </row>
    <row r="3" spans="1:18" x14ac:dyDescent="0.2">
      <c r="A3" s="298"/>
      <c r="B3" s="195"/>
      <c r="C3" s="195"/>
      <c r="D3" s="195"/>
      <c r="E3" s="195"/>
      <c r="F3" s="195"/>
      <c r="G3" s="195"/>
      <c r="H3" s="195"/>
      <c r="I3" s="195"/>
      <c r="J3" s="194"/>
      <c r="L3" s="188" t="s">
        <v>428</v>
      </c>
    </row>
    <row r="4" spans="1:18" x14ac:dyDescent="0.2">
      <c r="A4" s="298"/>
      <c r="B4" s="195"/>
      <c r="C4" s="195" t="s">
        <v>6</v>
      </c>
      <c r="D4" s="195"/>
      <c r="E4" s="195"/>
      <c r="F4" s="195"/>
      <c r="G4" s="195"/>
      <c r="H4" s="195"/>
      <c r="I4" s="195"/>
      <c r="J4" s="194"/>
      <c r="Q4" s="285"/>
      <c r="R4" s="178" t="s">
        <v>345</v>
      </c>
    </row>
    <row r="5" spans="1:18" ht="17" x14ac:dyDescent="0.2">
      <c r="A5" s="298"/>
      <c r="B5" s="195"/>
      <c r="C5" s="195"/>
      <c r="D5" s="195"/>
      <c r="E5" s="195"/>
      <c r="F5" s="195"/>
      <c r="G5" s="195"/>
      <c r="H5" s="195"/>
      <c r="I5" s="195"/>
      <c r="J5" s="194"/>
      <c r="L5" s="378" t="s">
        <v>17</v>
      </c>
      <c r="M5" s="407" t="s">
        <v>486</v>
      </c>
      <c r="N5" s="407" t="s">
        <v>456</v>
      </c>
      <c r="O5" s="407" t="s">
        <v>20</v>
      </c>
      <c r="P5" s="407" t="s">
        <v>21</v>
      </c>
      <c r="Q5" s="378" t="s">
        <v>25</v>
      </c>
      <c r="R5" s="407" t="s">
        <v>485</v>
      </c>
    </row>
    <row r="6" spans="1:18" x14ac:dyDescent="0.2">
      <c r="A6" s="298"/>
      <c r="B6" s="195"/>
      <c r="C6" s="195"/>
      <c r="D6" s="275" t="s">
        <v>484</v>
      </c>
      <c r="E6" s="274"/>
      <c r="F6" s="274"/>
      <c r="G6" s="280"/>
      <c r="H6" s="195"/>
      <c r="I6" s="195"/>
      <c r="J6" s="194"/>
      <c r="L6" s="374">
        <v>2010</v>
      </c>
      <c r="M6" s="355">
        <v>30</v>
      </c>
      <c r="N6" s="373">
        <f>G8</f>
        <v>5100</v>
      </c>
      <c r="O6" s="406">
        <f>1-EXP(-1*(M6/$E$19)^$E$18)</f>
        <v>0.84072409150997862</v>
      </c>
      <c r="P6" s="405">
        <f>1/O6</f>
        <v>1.189450867530101</v>
      </c>
      <c r="Q6" s="398">
        <f>N6*P6</f>
        <v>6066.199424403515</v>
      </c>
      <c r="R6" s="363">
        <f>Q6-N6</f>
        <v>966.19942440351497</v>
      </c>
    </row>
    <row r="7" spans="1:18" x14ac:dyDescent="0.2">
      <c r="A7" s="298"/>
      <c r="B7" s="195"/>
      <c r="C7" s="195"/>
      <c r="D7" s="328" t="s">
        <v>17</v>
      </c>
      <c r="E7" s="270">
        <v>12</v>
      </c>
      <c r="F7" s="270">
        <v>24</v>
      </c>
      <c r="G7" s="279">
        <v>36</v>
      </c>
      <c r="H7" s="195"/>
      <c r="I7" s="195"/>
      <c r="J7" s="194"/>
      <c r="L7" s="374">
        <v>2011</v>
      </c>
      <c r="M7" s="355">
        <v>18</v>
      </c>
      <c r="N7" s="373">
        <f>F9</f>
        <v>4300</v>
      </c>
      <c r="O7" s="406">
        <f>1-EXP(-1*(M7/$E$19)^$E$18)</f>
        <v>0.57421253610098444</v>
      </c>
      <c r="P7" s="405">
        <f>1/O7</f>
        <v>1.7415154444209731</v>
      </c>
      <c r="Q7" s="398">
        <f>N7*P7</f>
        <v>7488.5164110101841</v>
      </c>
      <c r="R7" s="363">
        <f>Q7-N7</f>
        <v>3188.5164110101841</v>
      </c>
    </row>
    <row r="8" spans="1:18" x14ac:dyDescent="0.2">
      <c r="A8" s="298"/>
      <c r="B8" s="195"/>
      <c r="C8" s="195"/>
      <c r="D8" s="222">
        <v>2010</v>
      </c>
      <c r="E8" s="404">
        <v>2750</v>
      </c>
      <c r="F8" s="404">
        <v>4250</v>
      </c>
      <c r="G8" s="403">
        <v>5100</v>
      </c>
      <c r="H8" s="195"/>
      <c r="I8" s="195"/>
      <c r="J8" s="194"/>
      <c r="L8" s="369">
        <v>2012</v>
      </c>
      <c r="M8" s="366">
        <v>6</v>
      </c>
      <c r="N8" s="368">
        <f>E10</f>
        <v>2900</v>
      </c>
      <c r="O8" s="402">
        <f>1-EXP(-1*(M8/$E$19)^$E$18)</f>
        <v>0.15152678921981466</v>
      </c>
      <c r="P8" s="401">
        <f>1/O8</f>
        <v>6.5994931005192399</v>
      </c>
      <c r="Q8" s="397">
        <f>N8*P8</f>
        <v>19138.529991505795</v>
      </c>
      <c r="R8" s="396">
        <f>Q8-N8</f>
        <v>16238.529991505795</v>
      </c>
    </row>
    <row r="9" spans="1:18" x14ac:dyDescent="0.2">
      <c r="A9" s="298"/>
      <c r="B9" s="195"/>
      <c r="C9" s="195"/>
      <c r="D9" s="221">
        <v>2011</v>
      </c>
      <c r="E9" s="215">
        <v>2700</v>
      </c>
      <c r="F9" s="215">
        <v>4300</v>
      </c>
      <c r="G9" s="342"/>
      <c r="H9" s="195"/>
      <c r="I9" s="195"/>
      <c r="J9" s="194"/>
      <c r="L9" s="400"/>
      <c r="M9" s="355"/>
      <c r="N9" s="373">
        <f>SUM(N6:N8)</f>
        <v>12300</v>
      </c>
      <c r="O9" s="355"/>
      <c r="P9" s="355"/>
      <c r="Q9" s="374"/>
      <c r="R9" s="363">
        <f>SUM(R6:R8)</f>
        <v>20393.245826919494</v>
      </c>
    </row>
    <row r="10" spans="1:18" x14ac:dyDescent="0.2">
      <c r="A10" s="298"/>
      <c r="B10" s="195"/>
      <c r="C10" s="195"/>
      <c r="D10" s="218">
        <v>2012</v>
      </c>
      <c r="E10" s="278">
        <v>2900</v>
      </c>
      <c r="F10" s="209"/>
      <c r="G10" s="208"/>
      <c r="H10" s="195"/>
      <c r="I10" s="195"/>
      <c r="J10" s="194"/>
    </row>
    <row r="11" spans="1:18" x14ac:dyDescent="0.2">
      <c r="A11" s="298"/>
      <c r="B11" s="195"/>
      <c r="C11" s="195"/>
      <c r="D11" s="195"/>
      <c r="E11" s="195"/>
      <c r="F11" s="195"/>
      <c r="G11" s="195"/>
      <c r="H11" s="195"/>
      <c r="I11" s="195"/>
      <c r="J11" s="194"/>
      <c r="L11" s="390" t="s">
        <v>483</v>
      </c>
      <c r="M11" s="363"/>
    </row>
    <row r="12" spans="1:18" ht="15.75" customHeight="1" x14ac:dyDescent="0.2">
      <c r="A12" s="298"/>
      <c r="B12" s="214"/>
      <c r="C12" s="195" t="s">
        <v>482</v>
      </c>
      <c r="D12" s="195"/>
      <c r="E12" s="195"/>
      <c r="F12" s="195"/>
      <c r="G12" s="195"/>
      <c r="H12" s="195"/>
      <c r="I12" s="195"/>
      <c r="J12" s="194"/>
      <c r="L12" s="399"/>
      <c r="M12" s="399"/>
      <c r="N12" s="389"/>
      <c r="O12" s="389"/>
      <c r="P12" s="389"/>
    </row>
    <row r="13" spans="1:18" ht="18" x14ac:dyDescent="0.2">
      <c r="A13" s="298"/>
      <c r="B13" s="214"/>
      <c r="C13" s="195" t="s">
        <v>481</v>
      </c>
      <c r="D13" s="195"/>
      <c r="E13" s="195"/>
      <c r="F13" s="195"/>
      <c r="G13" s="195"/>
      <c r="H13" s="195"/>
      <c r="I13" s="195"/>
      <c r="J13" s="194"/>
      <c r="L13" s="369" t="s">
        <v>17</v>
      </c>
      <c r="M13" s="366">
        <v>12</v>
      </c>
      <c r="N13" s="366">
        <v>24</v>
      </c>
      <c r="O13" s="369">
        <v>36</v>
      </c>
      <c r="P13" s="366" t="s">
        <v>480</v>
      </c>
    </row>
    <row r="14" spans="1:18" x14ac:dyDescent="0.2">
      <c r="A14" s="298"/>
      <c r="B14" s="214"/>
      <c r="C14" s="195"/>
      <c r="D14" s="195"/>
      <c r="E14" s="195"/>
      <c r="F14" s="195"/>
      <c r="G14" s="195"/>
      <c r="H14" s="195"/>
      <c r="I14" s="195"/>
      <c r="J14" s="194"/>
      <c r="L14" s="374">
        <v>2010</v>
      </c>
      <c r="M14" s="363">
        <f>$P14*M$17</f>
        <v>919.19172154695241</v>
      </c>
      <c r="N14" s="363">
        <f>$P14*N$17</f>
        <v>2564.096034434122</v>
      </c>
      <c r="O14" s="398">
        <f>$P14*O$17</f>
        <v>1616.712244018926</v>
      </c>
      <c r="P14" s="363">
        <f>Q6</f>
        <v>6066.199424403515</v>
      </c>
    </row>
    <row r="15" spans="1:18" x14ac:dyDescent="0.2">
      <c r="A15" s="298"/>
      <c r="B15" s="214"/>
      <c r="C15" s="195"/>
      <c r="D15" s="195"/>
      <c r="E15" s="195"/>
      <c r="F15" s="195"/>
      <c r="G15" s="195"/>
      <c r="H15" s="195"/>
      <c r="I15" s="195"/>
      <c r="J15" s="194"/>
      <c r="L15" s="374">
        <v>2011</v>
      </c>
      <c r="M15" s="363">
        <f>$P15*M$17</f>
        <v>1134.7108477802631</v>
      </c>
      <c r="N15" s="363">
        <f>$P15*N$17</f>
        <v>3165.2891522197365</v>
      </c>
      <c r="O15" s="398"/>
      <c r="P15" s="363">
        <f>Q7</f>
        <v>7488.5164110101841</v>
      </c>
    </row>
    <row r="16" spans="1:18" x14ac:dyDescent="0.2">
      <c r="A16" s="298"/>
      <c r="B16" s="214"/>
      <c r="C16" s="195"/>
      <c r="D16" s="195"/>
      <c r="E16" s="195"/>
      <c r="F16" s="195"/>
      <c r="G16" s="195"/>
      <c r="H16" s="195"/>
      <c r="I16" s="195"/>
      <c r="J16" s="194"/>
      <c r="L16" s="369">
        <v>2012</v>
      </c>
      <c r="M16" s="396">
        <f>$P16*M$17</f>
        <v>2900</v>
      </c>
      <c r="N16" s="396"/>
      <c r="O16" s="397"/>
      <c r="P16" s="396">
        <f>Q8</f>
        <v>19138.529991505795</v>
      </c>
    </row>
    <row r="17" spans="1:17" x14ac:dyDescent="0.2">
      <c r="A17" s="298"/>
      <c r="B17" s="214"/>
      <c r="C17" s="195" t="s">
        <v>479</v>
      </c>
      <c r="D17" s="195"/>
      <c r="E17" s="195"/>
      <c r="F17" s="195"/>
      <c r="G17" s="195"/>
      <c r="H17" s="195"/>
      <c r="I17" s="195"/>
      <c r="J17" s="194"/>
      <c r="L17" s="374" t="s">
        <v>478</v>
      </c>
      <c r="M17" s="395">
        <f>O8</f>
        <v>0.15152678921981466</v>
      </c>
      <c r="N17" s="395">
        <f>O7-O8</f>
        <v>0.42268574688116978</v>
      </c>
      <c r="O17" s="394">
        <f>O6-O7</f>
        <v>0.26651155540899418</v>
      </c>
    </row>
    <row r="18" spans="1:17" x14ac:dyDescent="0.2">
      <c r="A18" s="298"/>
      <c r="B18" s="214"/>
      <c r="C18" s="195"/>
      <c r="D18" s="393" t="s">
        <v>404</v>
      </c>
      <c r="E18" s="392">
        <v>1.5</v>
      </c>
      <c r="F18" s="195"/>
      <c r="G18" s="195"/>
      <c r="H18" s="195"/>
      <c r="I18" s="195"/>
      <c r="J18" s="194"/>
      <c r="L18" s="285"/>
    </row>
    <row r="19" spans="1:17" x14ac:dyDescent="0.2">
      <c r="A19" s="298"/>
      <c r="B19" s="214"/>
      <c r="C19" s="195"/>
      <c r="D19" s="214" t="s">
        <v>477</v>
      </c>
      <c r="E19" s="391">
        <v>20</v>
      </c>
      <c r="F19" s="195"/>
      <c r="G19" s="195"/>
      <c r="H19" s="195"/>
      <c r="I19" s="195"/>
      <c r="J19" s="194"/>
    </row>
    <row r="20" spans="1:17" x14ac:dyDescent="0.2">
      <c r="A20" s="298"/>
      <c r="B20" s="214"/>
      <c r="C20" s="195"/>
      <c r="D20" s="195"/>
      <c r="E20" s="195"/>
      <c r="F20" s="195"/>
      <c r="G20" s="195"/>
      <c r="H20" s="195"/>
      <c r="I20" s="195"/>
      <c r="J20" s="194"/>
      <c r="L20" s="390" t="s">
        <v>476</v>
      </c>
      <c r="M20" s="390"/>
      <c r="N20" s="389"/>
      <c r="O20" s="389"/>
    </row>
    <row r="21" spans="1:17" ht="15.75" customHeight="1" x14ac:dyDescent="0.2">
      <c r="A21" s="298" t="s">
        <v>0</v>
      </c>
      <c r="B21" s="259" t="s">
        <v>399</v>
      </c>
      <c r="C21" s="195" t="s">
        <v>475</v>
      </c>
      <c r="D21" s="195"/>
      <c r="E21" s="195"/>
      <c r="F21" s="195"/>
      <c r="G21" s="195"/>
      <c r="H21" s="195"/>
      <c r="I21" s="195"/>
      <c r="J21" s="194"/>
      <c r="L21" s="369" t="s">
        <v>17</v>
      </c>
      <c r="M21" s="366">
        <v>12</v>
      </c>
      <c r="N21" s="366">
        <v>24</v>
      </c>
      <c r="O21" s="366">
        <v>36</v>
      </c>
    </row>
    <row r="22" spans="1:17" x14ac:dyDescent="0.2">
      <c r="A22" s="298"/>
      <c r="B22" s="259"/>
      <c r="C22" s="195" t="s">
        <v>474</v>
      </c>
      <c r="D22" s="195"/>
      <c r="E22" s="195"/>
      <c r="F22" s="195"/>
      <c r="G22" s="195"/>
      <c r="H22" s="195"/>
      <c r="I22" s="195"/>
      <c r="J22" s="194"/>
      <c r="L22" s="374">
        <v>2010</v>
      </c>
      <c r="M22" s="373">
        <f>E8</f>
        <v>2750</v>
      </c>
      <c r="N22" s="373">
        <f>F8-E8</f>
        <v>1500</v>
      </c>
      <c r="O22" s="373">
        <f>G8-F8</f>
        <v>850</v>
      </c>
    </row>
    <row r="23" spans="1:17" x14ac:dyDescent="0.2">
      <c r="A23" s="298"/>
      <c r="B23" s="259"/>
      <c r="C23" s="195"/>
      <c r="D23" s="195"/>
      <c r="E23" s="195"/>
      <c r="F23" s="195"/>
      <c r="G23" s="195"/>
      <c r="H23" s="195"/>
      <c r="I23" s="195"/>
      <c r="J23" s="194"/>
      <c r="L23" s="374">
        <v>2011</v>
      </c>
      <c r="M23" s="373">
        <f>E9</f>
        <v>2700</v>
      </c>
      <c r="N23" s="373">
        <f>F9-E9</f>
        <v>1600</v>
      </c>
      <c r="O23" s="355"/>
    </row>
    <row r="24" spans="1:17" x14ac:dyDescent="0.2">
      <c r="A24" s="298" t="s">
        <v>1</v>
      </c>
      <c r="B24" s="259" t="s">
        <v>444</v>
      </c>
      <c r="C24" s="195" t="s">
        <v>473</v>
      </c>
      <c r="D24" s="195"/>
      <c r="E24" s="195"/>
      <c r="F24" s="195"/>
      <c r="G24" s="195"/>
      <c r="H24" s="195"/>
      <c r="I24" s="195"/>
      <c r="J24" s="194"/>
      <c r="L24" s="374">
        <v>2012</v>
      </c>
      <c r="M24" s="373">
        <f>E10</f>
        <v>2900</v>
      </c>
      <c r="N24" s="355"/>
      <c r="O24" s="355"/>
    </row>
    <row r="25" spans="1:17" x14ac:dyDescent="0.2">
      <c r="A25" s="298"/>
      <c r="B25" s="195"/>
      <c r="C25" s="197" t="s">
        <v>472</v>
      </c>
      <c r="D25" s="195"/>
      <c r="E25" s="195"/>
      <c r="F25" s="195"/>
      <c r="G25" s="195"/>
      <c r="H25" s="195"/>
      <c r="I25" s="195"/>
      <c r="J25" s="194"/>
    </row>
    <row r="26" spans="1:17" ht="17" thickBot="1" x14ac:dyDescent="0.25">
      <c r="A26" s="298"/>
      <c r="B26" s="195"/>
      <c r="C26" s="197"/>
      <c r="D26" s="195"/>
      <c r="E26" s="195"/>
      <c r="F26" s="195"/>
      <c r="G26" s="195"/>
      <c r="H26" s="195"/>
      <c r="I26" s="195"/>
      <c r="J26" s="194"/>
      <c r="L26" s="390" t="s">
        <v>471</v>
      </c>
      <c r="M26" s="390"/>
      <c r="N26" s="389"/>
      <c r="O26" s="389"/>
    </row>
    <row r="27" spans="1:17" ht="17" thickBot="1" x14ac:dyDescent="0.25">
      <c r="A27" s="312" t="s">
        <v>176</v>
      </c>
      <c r="B27" s="190"/>
      <c r="C27" s="311"/>
      <c r="D27" s="190"/>
      <c r="E27" s="190"/>
      <c r="F27" s="190"/>
      <c r="G27" s="190"/>
      <c r="H27" s="190"/>
      <c r="I27" s="190"/>
      <c r="J27" s="189"/>
      <c r="L27" s="369" t="s">
        <v>17</v>
      </c>
      <c r="M27" s="366">
        <v>12</v>
      </c>
      <c r="N27" s="366">
        <v>24</v>
      </c>
      <c r="O27" s="366">
        <v>36</v>
      </c>
    </row>
    <row r="28" spans="1:17" x14ac:dyDescent="0.2">
      <c r="L28" s="374">
        <v>2010</v>
      </c>
      <c r="M28" s="373">
        <f>(M22-M14)^2/M14</f>
        <v>3646.5286554269715</v>
      </c>
      <c r="N28" s="373">
        <f>(N22-N14)^2/N14</f>
        <v>441.59826905559521</v>
      </c>
      <c r="O28" s="373">
        <f>(O22-O14)^2/O14</f>
        <v>363.60686158176674</v>
      </c>
    </row>
    <row r="29" spans="1:17" ht="15.75" customHeight="1" x14ac:dyDescent="0.2">
      <c r="L29" s="374">
        <v>2011</v>
      </c>
      <c r="M29" s="373">
        <f>(M23-M15)^2/M15</f>
        <v>2159.255051495948</v>
      </c>
      <c r="N29" s="373">
        <f>(N23-N15)^2/N15</f>
        <v>774.06202474063628</v>
      </c>
      <c r="O29" s="355"/>
    </row>
    <row r="30" spans="1:17" x14ac:dyDescent="0.2">
      <c r="L30" s="374">
        <v>2012</v>
      </c>
      <c r="M30" s="373">
        <f>(M24-M16)^2/M16</f>
        <v>0</v>
      </c>
      <c r="N30" s="355"/>
      <c r="O30" s="355"/>
    </row>
    <row r="32" spans="1:17" ht="19" x14ac:dyDescent="0.2">
      <c r="L32" s="388" t="s">
        <v>470</v>
      </c>
      <c r="M32" s="363">
        <f>SUM(M28:O30)/(P32-P33)</f>
        <v>7385.0508623009182</v>
      </c>
      <c r="O32" s="178" t="s">
        <v>228</v>
      </c>
      <c r="P32" s="178">
        <v>6</v>
      </c>
      <c r="Q32" t="s">
        <v>469</v>
      </c>
    </row>
    <row r="33" spans="8:17" ht="17" thickBot="1" x14ac:dyDescent="0.25">
      <c r="O33" s="178" t="s">
        <v>229</v>
      </c>
      <c r="P33" s="178">
        <v>5</v>
      </c>
      <c r="Q33" t="s">
        <v>468</v>
      </c>
    </row>
    <row r="34" spans="8:17" ht="17" thickBot="1" x14ac:dyDescent="0.25">
      <c r="L34" s="177" t="s">
        <v>467</v>
      </c>
      <c r="M34" s="387">
        <f>SQRT(M32*R9)</f>
        <v>12272.129305023085</v>
      </c>
      <c r="N34" s="386" t="s">
        <v>466</v>
      </c>
    </row>
    <row r="37" spans="8:17" x14ac:dyDescent="0.2">
      <c r="L37" s="188" t="s">
        <v>409</v>
      </c>
    </row>
    <row r="39" spans="8:17" x14ac:dyDescent="0.2">
      <c r="L39" s="385" t="s">
        <v>61</v>
      </c>
      <c r="M39" s="385"/>
      <c r="N39" s="385"/>
      <c r="O39" s="385"/>
    </row>
    <row r="40" spans="8:17" x14ac:dyDescent="0.2">
      <c r="L40" s="369" t="s">
        <v>17</v>
      </c>
      <c r="M40" s="366">
        <v>12</v>
      </c>
      <c r="N40" s="366">
        <v>24</v>
      </c>
      <c r="O40" s="366">
        <v>36</v>
      </c>
    </row>
    <row r="41" spans="8:17" x14ac:dyDescent="0.2">
      <c r="L41" s="374">
        <v>2010</v>
      </c>
      <c r="M41" s="384">
        <f>(M22-M14)/SQRT($M$32*M14)</f>
        <v>0.70268886233275096</v>
      </c>
      <c r="N41" s="384">
        <f>(N22-N14)/SQRT($M$32*N14)</f>
        <v>-0.24453269589369697</v>
      </c>
      <c r="O41" s="384">
        <f>(O22-O14)/SQRT($M$32*O14)</f>
        <v>-0.22189079680659762</v>
      </c>
    </row>
    <row r="42" spans="8:17" x14ac:dyDescent="0.2">
      <c r="L42" s="374">
        <v>2011</v>
      </c>
      <c r="M42" s="384">
        <f>(M23-M15)/SQRT($M$32*M15)</f>
        <v>0.54072347787336517</v>
      </c>
      <c r="N42" s="384">
        <f>(N23-N15)/SQRT($M$32*N15)</f>
        <v>-0.3237510126030963</v>
      </c>
      <c r="O42" s="355"/>
    </row>
    <row r="43" spans="8:17" x14ac:dyDescent="0.2">
      <c r="L43" s="374">
        <v>2012</v>
      </c>
      <c r="M43" s="384">
        <f>(M24-M16)/SQRT($M$32*M16)</f>
        <v>0</v>
      </c>
      <c r="N43" s="355"/>
      <c r="O43" s="355"/>
    </row>
    <row r="44" spans="8:17" x14ac:dyDescent="0.2">
      <c r="H44" s="240"/>
    </row>
    <row r="45" spans="8:17" x14ac:dyDescent="0.2">
      <c r="H45" s="240"/>
      <c r="P45" s="181"/>
    </row>
    <row r="46" spans="8:17" x14ac:dyDescent="0.2">
      <c r="H46" s="240"/>
    </row>
    <row r="47" spans="8:17" x14ac:dyDescent="0.2">
      <c r="H47" s="240"/>
    </row>
    <row r="48" spans="8:17" x14ac:dyDescent="0.2">
      <c r="H48" s="240"/>
    </row>
    <row r="49" spans="8:26" x14ac:dyDescent="0.2">
      <c r="H49" s="240"/>
    </row>
    <row r="50" spans="8:26" ht="16" customHeight="1" x14ac:dyDescent="0.2">
      <c r="Z50" s="383"/>
    </row>
    <row r="51" spans="8:26" x14ac:dyDescent="0.2">
      <c r="Z51" s="383"/>
    </row>
    <row r="52" spans="8:26" x14ac:dyDescent="0.2">
      <c r="Z52" s="383"/>
    </row>
    <row r="55" spans="8:26" x14ac:dyDescent="0.2">
      <c r="Z55" s="383"/>
    </row>
    <row r="56" spans="8:26" ht="15.75" customHeight="1" x14ac:dyDescent="0.2">
      <c r="Z56" s="383"/>
    </row>
    <row r="57" spans="8:26" ht="15.75" customHeight="1" x14ac:dyDescent="0.2">
      <c r="Z57" s="383"/>
    </row>
    <row r="58" spans="8:26" ht="15.75" customHeight="1" x14ac:dyDescent="0.2">
      <c r="Z58" s="383"/>
    </row>
    <row r="59" spans="8:26" ht="15.75" customHeight="1" x14ac:dyDescent="0.2">
      <c r="Z59" s="383"/>
    </row>
    <row r="60" spans="8:26" x14ac:dyDescent="0.2">
      <c r="L60" s="155" t="s">
        <v>465</v>
      </c>
      <c r="M60" s="155"/>
      <c r="N60" s="155"/>
      <c r="O60" s="155"/>
      <c r="P60" s="155"/>
      <c r="Q60" s="155"/>
      <c r="R60" s="155"/>
    </row>
    <row r="61" spans="8:26" x14ac:dyDescent="0.2">
      <c r="L61" s="155"/>
      <c r="M61" s="155"/>
      <c r="N61" s="155"/>
      <c r="O61" s="155"/>
      <c r="P61" s="155"/>
      <c r="Q61" s="155"/>
      <c r="R61" s="155"/>
    </row>
    <row r="62" spans="8:26" x14ac:dyDescent="0.2">
      <c r="L62" s="155"/>
      <c r="M62" s="155"/>
      <c r="N62" s="155"/>
      <c r="O62" s="155"/>
      <c r="P62" s="155"/>
      <c r="Q62" s="155"/>
      <c r="R62" s="155"/>
    </row>
    <row r="64" spans="8:26" x14ac:dyDescent="0.2">
      <c r="L64" s="188" t="s">
        <v>464</v>
      </c>
    </row>
    <row r="65" spans="12:18" ht="16" customHeight="1" x14ac:dyDescent="0.2">
      <c r="L65" s="382" t="s">
        <v>463</v>
      </c>
      <c r="M65" s="382"/>
      <c r="N65" s="382"/>
      <c r="O65" s="382"/>
      <c r="P65" s="382"/>
      <c r="Q65" s="382"/>
      <c r="R65" s="382"/>
    </row>
    <row r="66" spans="12:18" ht="16" customHeight="1" x14ac:dyDescent="0.2">
      <c r="L66" s="382"/>
      <c r="M66" s="382"/>
      <c r="N66" s="382"/>
      <c r="O66" s="382"/>
      <c r="P66" s="382"/>
      <c r="Q66" s="382"/>
      <c r="R66" s="382"/>
    </row>
    <row r="68" spans="12:18" ht="19" x14ac:dyDescent="0.2">
      <c r="L68" s="381" t="s">
        <v>220</v>
      </c>
    </row>
    <row r="69" spans="12:18" x14ac:dyDescent="0.2">
      <c r="L69" s="348" t="s">
        <v>462</v>
      </c>
    </row>
    <row r="70" spans="12:18" x14ac:dyDescent="0.2">
      <c r="L70" s="348" t="s">
        <v>461</v>
      </c>
    </row>
  </sheetData>
  <mergeCells count="4">
    <mergeCell ref="D6:G6"/>
    <mergeCell ref="L39:O39"/>
    <mergeCell ref="L60:R62"/>
    <mergeCell ref="L65:R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7D556-2801-8343-869F-4D14E5407649}">
  <dimension ref="A1:BM185"/>
  <sheetViews>
    <sheetView zoomScaleNormal="100" workbookViewId="0"/>
  </sheetViews>
  <sheetFormatPr baseColWidth="10" defaultColWidth="10.83203125" defaultRowHeight="16" outlineLevelCol="1" x14ac:dyDescent="0.2"/>
  <cols>
    <col min="1" max="1" width="4.6640625" style="36" customWidth="1"/>
    <col min="2" max="2" width="10.83203125" style="36"/>
    <col min="3" max="3" width="11.6640625" style="36" bestFit="1" customWidth="1"/>
    <col min="4" max="10" width="10.83203125" style="36"/>
    <col min="11" max="11" width="11.5" style="36" bestFit="1" customWidth="1"/>
    <col min="12" max="21" width="10.83203125" style="36" hidden="1" customWidth="1" outlineLevel="1"/>
    <col min="22" max="22" width="10.83203125" style="36" collapsed="1"/>
    <col min="23" max="16384" width="10.83203125" style="36"/>
  </cols>
  <sheetData>
    <row r="1" spans="1:21" ht="19" x14ac:dyDescent="0.25">
      <c r="A1" s="1" t="s">
        <v>194</v>
      </c>
      <c r="B1" s="19"/>
      <c r="C1" s="33"/>
      <c r="D1" s="33"/>
      <c r="E1" s="33"/>
      <c r="F1" s="34"/>
      <c r="G1" s="34"/>
      <c r="H1" s="34"/>
      <c r="I1" s="34"/>
      <c r="J1" s="35"/>
      <c r="K1" s="3" t="s">
        <v>177</v>
      </c>
    </row>
    <row r="2" spans="1:21" x14ac:dyDescent="0.2">
      <c r="A2" s="2"/>
      <c r="B2" s="20"/>
      <c r="C2" s="37"/>
      <c r="D2" s="37"/>
      <c r="E2" s="37"/>
      <c r="F2" s="34"/>
      <c r="G2" s="34"/>
      <c r="H2" s="34"/>
      <c r="I2" s="34"/>
      <c r="J2" s="35"/>
      <c r="L2" s="7" t="s">
        <v>38</v>
      </c>
      <c r="M2" s="38"/>
    </row>
    <row r="3" spans="1:21" x14ac:dyDescent="0.2">
      <c r="A3" s="2"/>
      <c r="B3" s="34" t="s">
        <v>6</v>
      </c>
      <c r="C3" s="34"/>
      <c r="D3" s="34"/>
      <c r="E3" s="34"/>
      <c r="F3" s="34"/>
      <c r="G3" s="34"/>
      <c r="H3" s="34"/>
      <c r="I3" s="34"/>
      <c r="J3" s="35"/>
    </row>
    <row r="4" spans="1:21" ht="34" x14ac:dyDescent="0.2">
      <c r="A4" s="2"/>
      <c r="B4" s="34"/>
      <c r="C4" s="34"/>
      <c r="D4" s="34"/>
      <c r="E4" s="34"/>
      <c r="F4" s="34"/>
      <c r="G4" s="34"/>
      <c r="H4" s="34"/>
      <c r="I4" s="34"/>
      <c r="J4" s="35"/>
      <c r="L4" s="39" t="s">
        <v>17</v>
      </c>
      <c r="M4" s="40" t="s">
        <v>18</v>
      </c>
      <c r="N4" s="40" t="s">
        <v>19</v>
      </c>
      <c r="O4" s="40" t="s">
        <v>20</v>
      </c>
      <c r="P4" s="40" t="s">
        <v>21</v>
      </c>
      <c r="Q4" s="41" t="s">
        <v>22</v>
      </c>
      <c r="R4" s="41" t="s">
        <v>25</v>
      </c>
      <c r="S4" s="36" t="s">
        <v>23</v>
      </c>
    </row>
    <row r="5" spans="1:21" x14ac:dyDescent="0.2">
      <c r="A5" s="2"/>
      <c r="B5" s="34"/>
      <c r="C5" s="151" t="s">
        <v>208</v>
      </c>
      <c r="D5" s="151"/>
      <c r="E5" s="151"/>
      <c r="F5" s="151"/>
      <c r="G5" s="34"/>
      <c r="H5" s="34"/>
      <c r="I5" s="34"/>
      <c r="J5" s="35"/>
      <c r="L5" s="42">
        <f>C7</f>
        <v>2014</v>
      </c>
      <c r="M5" s="43">
        <f>M6+12</f>
        <v>36</v>
      </c>
      <c r="N5" s="43">
        <f>M5-6</f>
        <v>30</v>
      </c>
      <c r="O5" s="44">
        <f>1-EXP(-((N5/$D$14)^$D$15))</f>
        <v>0.95427770816101509</v>
      </c>
      <c r="P5" s="45">
        <f>1/O5</f>
        <v>1.0479129832416354</v>
      </c>
      <c r="Q5" s="46">
        <f>F7</f>
        <v>970</v>
      </c>
      <c r="R5" s="47">
        <f>Q5*P5</f>
        <v>1016.4755937443863</v>
      </c>
      <c r="S5" s="47">
        <f>R5-Q5</f>
        <v>46.475593744386288</v>
      </c>
    </row>
    <row r="6" spans="1:21" ht="34" x14ac:dyDescent="0.2">
      <c r="A6" s="2"/>
      <c r="B6" s="34"/>
      <c r="C6" s="11" t="s">
        <v>7</v>
      </c>
      <c r="D6" s="12" t="s">
        <v>8</v>
      </c>
      <c r="E6" s="12" t="s">
        <v>9</v>
      </c>
      <c r="F6" s="12" t="s">
        <v>10</v>
      </c>
      <c r="G6" s="34"/>
      <c r="H6" s="34"/>
      <c r="I6" s="34"/>
      <c r="J6" s="35"/>
      <c r="L6" s="42">
        <f>C8</f>
        <v>2015</v>
      </c>
      <c r="M6" s="43">
        <f t="shared" ref="M6" si="0">M7+12</f>
        <v>24</v>
      </c>
      <c r="N6" s="43">
        <f t="shared" ref="N6" si="1">M6-6</f>
        <v>18</v>
      </c>
      <c r="O6" s="44">
        <f t="shared" ref="O6:O7" si="2">1-EXP(-((N6/$D$14)^$D$15))</f>
        <v>0.88440577491162231</v>
      </c>
      <c r="P6" s="45">
        <f t="shared" ref="P6:P7" si="3">1/O6</f>
        <v>1.13070270272707</v>
      </c>
      <c r="Q6" s="46">
        <f>E8</f>
        <v>940</v>
      </c>
      <c r="R6" s="48">
        <f>Q6*P6</f>
        <v>1062.8605405634457</v>
      </c>
      <c r="S6" s="48">
        <f t="shared" ref="S6:S7" si="4">R6-Q6</f>
        <v>122.86054056344574</v>
      </c>
    </row>
    <row r="7" spans="1:21" x14ac:dyDescent="0.2">
      <c r="A7" s="2"/>
      <c r="B7" s="34"/>
      <c r="C7" s="10">
        <v>2014</v>
      </c>
      <c r="D7" s="6">
        <v>590</v>
      </c>
      <c r="E7" s="6">
        <v>890</v>
      </c>
      <c r="F7" s="6">
        <v>970</v>
      </c>
      <c r="G7" s="34"/>
      <c r="H7" s="34"/>
      <c r="I7" s="34"/>
      <c r="J7" s="35"/>
      <c r="L7" s="49">
        <f>C9</f>
        <v>2016</v>
      </c>
      <c r="M7" s="50">
        <v>12</v>
      </c>
      <c r="N7" s="51">
        <f>M7-6</f>
        <v>6</v>
      </c>
      <c r="O7" s="52">
        <f t="shared" si="2"/>
        <v>0.63212055882855767</v>
      </c>
      <c r="P7" s="53">
        <f t="shared" si="3"/>
        <v>1.5819767068693265</v>
      </c>
      <c r="Q7" s="54">
        <f>D9</f>
        <v>820</v>
      </c>
      <c r="R7" s="55">
        <f>Q7*P7</f>
        <v>1297.2208996328477</v>
      </c>
      <c r="S7" s="56">
        <f t="shared" si="4"/>
        <v>477.2208996328477</v>
      </c>
    </row>
    <row r="8" spans="1:21" x14ac:dyDescent="0.2">
      <c r="A8" s="2"/>
      <c r="B8" s="34"/>
      <c r="C8" s="10">
        <v>2015</v>
      </c>
      <c r="D8" s="6">
        <v>730</v>
      </c>
      <c r="E8" s="6">
        <v>940</v>
      </c>
      <c r="F8" s="6"/>
      <c r="G8" s="34"/>
      <c r="H8" s="34"/>
      <c r="I8" s="34"/>
      <c r="J8" s="35"/>
      <c r="L8" s="57"/>
      <c r="P8" s="45"/>
      <c r="Q8" s="46">
        <f t="shared" ref="Q8:R8" si="5">SUM(Q5:Q7)</f>
        <v>2730</v>
      </c>
      <c r="R8" s="46">
        <f t="shared" si="5"/>
        <v>3376.55703394068</v>
      </c>
      <c r="S8" s="8">
        <f>SUM(S5:S7)</f>
        <v>646.55703394067973</v>
      </c>
    </row>
    <row r="9" spans="1:21" x14ac:dyDescent="0.2">
      <c r="A9" s="2"/>
      <c r="B9" s="34"/>
      <c r="C9" s="10">
        <v>2016</v>
      </c>
      <c r="D9" s="6">
        <v>820</v>
      </c>
      <c r="E9" s="6"/>
      <c r="F9" s="6"/>
      <c r="G9" s="34"/>
      <c r="H9" s="34"/>
      <c r="I9" s="34"/>
      <c r="J9" s="35"/>
    </row>
    <row r="10" spans="1:21" x14ac:dyDescent="0.2">
      <c r="A10" s="2"/>
      <c r="B10" s="34"/>
      <c r="C10" s="34"/>
      <c r="D10" s="34"/>
      <c r="E10" s="34"/>
      <c r="F10" s="34"/>
      <c r="G10" s="34"/>
      <c r="H10" s="34"/>
      <c r="I10" s="34"/>
      <c r="J10" s="35"/>
    </row>
    <row r="11" spans="1:21" x14ac:dyDescent="0.2">
      <c r="A11" s="2"/>
      <c r="B11" s="34"/>
      <c r="C11" s="34"/>
      <c r="D11" s="34"/>
      <c r="E11" s="34"/>
      <c r="F11" s="34"/>
      <c r="G11" s="34"/>
      <c r="H11" s="34"/>
      <c r="I11" s="34"/>
      <c r="J11" s="35"/>
      <c r="L11" s="7" t="s">
        <v>24</v>
      </c>
      <c r="R11" s="7" t="s">
        <v>30</v>
      </c>
    </row>
    <row r="12" spans="1:21" x14ac:dyDescent="0.2">
      <c r="A12" s="2"/>
      <c r="B12" s="34" t="s">
        <v>12</v>
      </c>
      <c r="C12" s="34"/>
      <c r="D12" s="34"/>
      <c r="E12" s="34"/>
      <c r="F12" s="34"/>
      <c r="G12" s="34"/>
      <c r="H12" s="34"/>
      <c r="I12" s="34"/>
      <c r="J12" s="35"/>
      <c r="L12" s="9"/>
    </row>
    <row r="13" spans="1:21" ht="17" x14ac:dyDescent="0.2">
      <c r="A13" s="2"/>
      <c r="B13" s="34"/>
      <c r="C13" s="34"/>
      <c r="D13" s="34"/>
      <c r="E13" s="34"/>
      <c r="F13" s="34"/>
      <c r="G13" s="34"/>
      <c r="H13" s="34"/>
      <c r="I13" s="34"/>
      <c r="J13" s="35"/>
      <c r="L13" s="58" t="s">
        <v>17</v>
      </c>
      <c r="M13" s="40">
        <v>12</v>
      </c>
      <c r="N13" s="40">
        <v>24</v>
      </c>
      <c r="O13" s="40">
        <v>36</v>
      </c>
      <c r="P13" s="43" t="s">
        <v>25</v>
      </c>
      <c r="R13" s="59" t="s">
        <v>17</v>
      </c>
      <c r="S13" s="60">
        <v>12</v>
      </c>
      <c r="T13" s="60">
        <v>24</v>
      </c>
      <c r="U13" s="60">
        <v>36</v>
      </c>
    </row>
    <row r="14" spans="1:21" x14ac:dyDescent="0.2">
      <c r="A14" s="2"/>
      <c r="B14" s="34"/>
      <c r="C14" s="61" t="s">
        <v>13</v>
      </c>
      <c r="D14" s="62">
        <v>6</v>
      </c>
      <c r="E14" s="34"/>
      <c r="F14" s="34"/>
      <c r="G14" s="34"/>
      <c r="H14" s="34"/>
      <c r="I14" s="34"/>
      <c r="J14" s="35"/>
      <c r="L14" s="63">
        <f>C7</f>
        <v>2014</v>
      </c>
      <c r="M14" s="48">
        <f>$P14*M$18</f>
        <v>642.5351203532914</v>
      </c>
      <c r="N14" s="48">
        <f>$P14*N$18</f>
        <v>256.44176481096395</v>
      </c>
      <c r="O14" s="48">
        <f>$P14*O$18</f>
        <v>71.02311483574465</v>
      </c>
      <c r="P14" s="64">
        <f>R5</f>
        <v>1016.4755937443863</v>
      </c>
      <c r="R14" s="30">
        <f t="shared" ref="R14:S16" si="6">C7</f>
        <v>2014</v>
      </c>
      <c r="S14" s="29">
        <f t="shared" si="6"/>
        <v>590</v>
      </c>
      <c r="T14" s="29">
        <f>E7-D7</f>
        <v>300</v>
      </c>
      <c r="U14" s="29">
        <f>F7-E7</f>
        <v>80</v>
      </c>
    </row>
    <row r="15" spans="1:21" x14ac:dyDescent="0.2">
      <c r="A15" s="2"/>
      <c r="B15" s="34"/>
      <c r="C15" s="61" t="s">
        <v>14</v>
      </c>
      <c r="D15" s="62">
        <v>0.7</v>
      </c>
      <c r="E15" s="34"/>
      <c r="F15" s="34"/>
      <c r="G15" s="34"/>
      <c r="H15" s="34"/>
      <c r="I15" s="34"/>
      <c r="J15" s="35"/>
      <c r="L15" s="63">
        <f>C8</f>
        <v>2015</v>
      </c>
      <c r="M15" s="48">
        <f>$P15*M$18</f>
        <v>671.85599885778822</v>
      </c>
      <c r="N15" s="48">
        <f>$P15*N$18</f>
        <v>268.14400114221178</v>
      </c>
      <c r="O15" s="48"/>
      <c r="P15" s="64">
        <f t="shared" ref="P15:P16" si="7">R6</f>
        <v>1062.8605405634457</v>
      </c>
      <c r="R15" s="30">
        <f t="shared" si="6"/>
        <v>2015</v>
      </c>
      <c r="S15" s="29">
        <f t="shared" si="6"/>
        <v>730</v>
      </c>
      <c r="T15" s="29">
        <f>E8-D8</f>
        <v>210</v>
      </c>
      <c r="U15" s="29"/>
    </row>
    <row r="16" spans="1:21" x14ac:dyDescent="0.2">
      <c r="A16" s="2"/>
      <c r="B16" s="34"/>
      <c r="C16" s="34"/>
      <c r="D16" s="34"/>
      <c r="E16" s="34"/>
      <c r="F16" s="34"/>
      <c r="G16" s="34"/>
      <c r="H16" s="34"/>
      <c r="I16" s="34"/>
      <c r="J16" s="35"/>
      <c r="L16" s="63">
        <f>C9</f>
        <v>2016</v>
      </c>
      <c r="M16" s="48">
        <f>$P16*M$18</f>
        <v>820</v>
      </c>
      <c r="N16" s="48"/>
      <c r="O16" s="48"/>
      <c r="P16" s="64">
        <f t="shared" si="7"/>
        <v>1297.2208996328477</v>
      </c>
      <c r="R16" s="30">
        <f t="shared" si="6"/>
        <v>2016</v>
      </c>
      <c r="S16" s="29">
        <f t="shared" si="6"/>
        <v>820</v>
      </c>
      <c r="T16" s="29"/>
    </row>
    <row r="17" spans="1:15" x14ac:dyDescent="0.2">
      <c r="A17" s="2"/>
      <c r="B17" s="34" t="s">
        <v>15</v>
      </c>
      <c r="C17" s="34"/>
      <c r="D17" s="34"/>
      <c r="E17" s="34"/>
      <c r="F17" s="34"/>
      <c r="G17" s="65">
        <v>170000</v>
      </c>
      <c r="H17" s="34"/>
      <c r="I17" s="34"/>
      <c r="J17" s="35"/>
    </row>
    <row r="18" spans="1:15" x14ac:dyDescent="0.2">
      <c r="A18" s="2"/>
      <c r="B18" s="34"/>
      <c r="C18" s="34"/>
      <c r="D18" s="34"/>
      <c r="E18" s="34"/>
      <c r="F18" s="34"/>
      <c r="G18" s="34"/>
      <c r="H18" s="34"/>
      <c r="I18" s="34"/>
      <c r="J18" s="35"/>
      <c r="L18" s="36" t="s">
        <v>31</v>
      </c>
      <c r="M18" s="44">
        <f>O7</f>
        <v>0.63212055882855767</v>
      </c>
      <c r="N18" s="44">
        <f>O6-O7</f>
        <v>0.25228521608306465</v>
      </c>
      <c r="O18" s="44">
        <f>O5-O6</f>
        <v>6.9871933249392781E-2</v>
      </c>
    </row>
    <row r="19" spans="1:15" x14ac:dyDescent="0.2">
      <c r="A19" s="2"/>
      <c r="B19" s="34"/>
      <c r="C19" s="34"/>
      <c r="D19" s="34"/>
      <c r="E19" s="34"/>
      <c r="F19" s="34"/>
      <c r="G19" s="34"/>
      <c r="H19" s="34"/>
      <c r="I19" s="34"/>
      <c r="J19" s="35"/>
    </row>
    <row r="20" spans="1:15" x14ac:dyDescent="0.2">
      <c r="A20" s="2"/>
      <c r="B20" s="34" t="s">
        <v>16</v>
      </c>
      <c r="C20" s="34"/>
      <c r="D20" s="34"/>
      <c r="E20" s="34"/>
      <c r="F20" s="34"/>
      <c r="G20" s="34"/>
      <c r="H20" s="34"/>
      <c r="I20" s="34"/>
      <c r="J20" s="35"/>
    </row>
    <row r="21" spans="1:15" x14ac:dyDescent="0.2">
      <c r="A21" s="2"/>
      <c r="B21" s="34"/>
      <c r="C21" s="34"/>
      <c r="D21" s="34"/>
      <c r="E21" s="34"/>
      <c r="F21" s="34"/>
      <c r="G21" s="34"/>
      <c r="H21" s="34"/>
      <c r="I21" s="34"/>
      <c r="J21" s="35"/>
      <c r="L21" s="7" t="s">
        <v>26</v>
      </c>
    </row>
    <row r="22" spans="1:15" ht="17" thickBot="1" x14ac:dyDescent="0.25">
      <c r="A22" s="2"/>
      <c r="B22" s="34"/>
      <c r="C22" s="34"/>
      <c r="D22" s="34"/>
      <c r="E22" s="34"/>
      <c r="F22" s="34"/>
      <c r="G22" s="34"/>
      <c r="H22" s="34"/>
      <c r="I22" s="34"/>
      <c r="J22" s="35"/>
    </row>
    <row r="23" spans="1:15" ht="17" thickBot="1" x14ac:dyDescent="0.25">
      <c r="A23" s="152" t="s">
        <v>176</v>
      </c>
      <c r="B23" s="153"/>
      <c r="C23" s="153"/>
      <c r="D23" s="153"/>
      <c r="E23" s="153"/>
      <c r="F23" s="153"/>
      <c r="G23" s="153"/>
      <c r="H23" s="153"/>
      <c r="I23" s="153"/>
      <c r="J23" s="154"/>
      <c r="L23" s="58" t="s">
        <v>17</v>
      </c>
      <c r="M23" s="66">
        <v>12</v>
      </c>
      <c r="N23" s="66">
        <v>24</v>
      </c>
      <c r="O23" s="66">
        <v>36</v>
      </c>
    </row>
    <row r="24" spans="1:15" x14ac:dyDescent="0.2">
      <c r="L24" s="63">
        <f>C7</f>
        <v>2014</v>
      </c>
      <c r="M24" s="67">
        <f>(S14-M14)^2/M14</f>
        <v>4.2953899064961441</v>
      </c>
      <c r="N24" s="67">
        <f>(T14-N14)^2/N14</f>
        <v>7.3986382607450398</v>
      </c>
      <c r="O24" s="67">
        <f>(U14-O14)^2/O14</f>
        <v>1.1346231074009596</v>
      </c>
    </row>
    <row r="25" spans="1:15" ht="19" x14ac:dyDescent="0.25">
      <c r="A25" s="3"/>
      <c r="L25" s="63">
        <f>C8</f>
        <v>2015</v>
      </c>
      <c r="M25" s="67">
        <f>(S15-M15)^2/M15</f>
        <v>5.0319188554884402</v>
      </c>
      <c r="N25" s="67">
        <f>(T15-N15)^2/N15</f>
        <v>12.607870600963162</v>
      </c>
      <c r="O25" s="48"/>
    </row>
    <row r="26" spans="1:15" x14ac:dyDescent="0.2">
      <c r="A26" s="4"/>
      <c r="L26" s="63">
        <f>C9</f>
        <v>2016</v>
      </c>
      <c r="M26" s="67">
        <f>(S16-M16)^2/M16</f>
        <v>0</v>
      </c>
      <c r="N26" s="48"/>
      <c r="O26" s="48"/>
    </row>
    <row r="28" spans="1:15" x14ac:dyDescent="0.2">
      <c r="L28" s="121" t="s">
        <v>228</v>
      </c>
      <c r="M28" s="36">
        <v>6</v>
      </c>
    </row>
    <row r="29" spans="1:15" x14ac:dyDescent="0.2">
      <c r="L29" s="121" t="s">
        <v>229</v>
      </c>
      <c r="M29" s="36">
        <f>3+2</f>
        <v>5</v>
      </c>
      <c r="N29" s="68" t="s">
        <v>205</v>
      </c>
    </row>
    <row r="30" spans="1:15" x14ac:dyDescent="0.2">
      <c r="L30" s="121" t="s">
        <v>227</v>
      </c>
      <c r="M30" s="69">
        <f>SUM($M$24:$O$26)/(M28-M29)</f>
        <v>30.468440731093743</v>
      </c>
    </row>
    <row r="31" spans="1:15" x14ac:dyDescent="0.2">
      <c r="A31" s="4"/>
    </row>
    <row r="32" spans="1:15" x14ac:dyDescent="0.2">
      <c r="L32" s="7" t="s">
        <v>37</v>
      </c>
    </row>
    <row r="34" spans="1:15" x14ac:dyDescent="0.2">
      <c r="L34" s="36" t="s">
        <v>33</v>
      </c>
      <c r="N34" s="70">
        <f>M30*S8</f>
        <v>19699.584667893367</v>
      </c>
    </row>
    <row r="35" spans="1:15" x14ac:dyDescent="0.2">
      <c r="L35" s="36" t="s">
        <v>35</v>
      </c>
      <c r="N35" s="70">
        <f>(G17/1000)^2</f>
        <v>28900</v>
      </c>
    </row>
    <row r="36" spans="1:15" ht="17" thickBot="1" x14ac:dyDescent="0.25"/>
    <row r="37" spans="1:15" ht="17" thickBot="1" x14ac:dyDescent="0.25">
      <c r="L37" s="114" t="s">
        <v>34</v>
      </c>
      <c r="M37" s="116"/>
      <c r="N37" s="118">
        <f>SQRT(N34+N35)</f>
        <v>220.45313485612621</v>
      </c>
      <c r="O37" s="68" t="s">
        <v>36</v>
      </c>
    </row>
    <row r="40" spans="1:15" ht="19" x14ac:dyDescent="0.25">
      <c r="L40" s="3" t="s">
        <v>220</v>
      </c>
    </row>
    <row r="41" spans="1:15" x14ac:dyDescent="0.2">
      <c r="A41" s="4"/>
      <c r="L41" s="113" t="s">
        <v>221</v>
      </c>
    </row>
    <row r="42" spans="1:15" x14ac:dyDescent="0.2">
      <c r="M42" s="38"/>
    </row>
    <row r="43" spans="1:15" x14ac:dyDescent="0.2">
      <c r="L43" s="5"/>
      <c r="M43" s="5"/>
      <c r="N43" s="5"/>
    </row>
    <row r="44" spans="1:15" x14ac:dyDescent="0.2">
      <c r="L44" s="5"/>
      <c r="M44" s="5"/>
      <c r="N44" s="5"/>
    </row>
    <row r="45" spans="1:15" x14ac:dyDescent="0.2">
      <c r="L45" s="5"/>
      <c r="M45" s="5"/>
      <c r="N45" s="5"/>
    </row>
    <row r="46" spans="1:15" x14ac:dyDescent="0.2">
      <c r="L46" s="5"/>
      <c r="M46" s="5"/>
      <c r="N46" s="5"/>
    </row>
    <row r="47" spans="1:15" x14ac:dyDescent="0.2">
      <c r="L47" s="5"/>
      <c r="M47" s="5"/>
      <c r="N47" s="5"/>
    </row>
    <row r="48" spans="1:15" x14ac:dyDescent="0.2">
      <c r="L48" s="5"/>
      <c r="M48" s="5"/>
      <c r="N48" s="5"/>
    </row>
    <row r="49" spans="12:14" x14ac:dyDescent="0.2">
      <c r="L49" s="5"/>
      <c r="M49" s="5"/>
      <c r="N49" s="5"/>
    </row>
    <row r="50" spans="12:14" x14ac:dyDescent="0.2">
      <c r="L50" s="5"/>
      <c r="M50" s="5"/>
      <c r="N50" s="5"/>
    </row>
    <row r="51" spans="12:14" x14ac:dyDescent="0.2">
      <c r="L51" s="5"/>
      <c r="M51" s="5"/>
      <c r="N51" s="5"/>
    </row>
    <row r="52" spans="12:14" x14ac:dyDescent="0.2">
      <c r="M52" s="38"/>
    </row>
    <row r="53" spans="12:14" x14ac:dyDescent="0.2">
      <c r="L53" s="5"/>
      <c r="M53" s="5"/>
      <c r="N53" s="5"/>
    </row>
    <row r="54" spans="12:14" x14ac:dyDescent="0.2">
      <c r="L54" s="5"/>
      <c r="M54" s="5"/>
      <c r="N54" s="5"/>
    </row>
    <row r="55" spans="12:14" x14ac:dyDescent="0.2">
      <c r="L55" s="5"/>
      <c r="M55" s="5"/>
      <c r="N55" s="5"/>
    </row>
    <row r="56" spans="12:14" x14ac:dyDescent="0.2">
      <c r="L56" s="5"/>
      <c r="M56" s="5"/>
      <c r="N56" s="5"/>
    </row>
    <row r="57" spans="12:14" x14ac:dyDescent="0.2">
      <c r="L57" s="5"/>
      <c r="M57" s="5"/>
      <c r="N57" s="5"/>
    </row>
    <row r="58" spans="12:14" x14ac:dyDescent="0.2">
      <c r="L58" s="5"/>
      <c r="M58" s="5"/>
      <c r="N58" s="5"/>
    </row>
    <row r="59" spans="12:14" x14ac:dyDescent="0.2">
      <c r="L59" s="5"/>
      <c r="M59" s="5"/>
      <c r="N59" s="5"/>
    </row>
    <row r="60" spans="12:14" x14ac:dyDescent="0.2">
      <c r="L60" s="5"/>
      <c r="M60" s="5"/>
      <c r="N60" s="5"/>
    </row>
    <row r="61" spans="12:14" x14ac:dyDescent="0.2">
      <c r="L61" s="5"/>
      <c r="M61" s="5"/>
      <c r="N61" s="5"/>
    </row>
    <row r="62" spans="12:14" x14ac:dyDescent="0.2">
      <c r="L62" s="5"/>
      <c r="M62" s="5"/>
      <c r="N62" s="5"/>
    </row>
    <row r="63" spans="12:14" x14ac:dyDescent="0.2">
      <c r="L63" s="5"/>
      <c r="M63" s="5"/>
      <c r="N63" s="5"/>
    </row>
    <row r="64" spans="12:14" x14ac:dyDescent="0.2">
      <c r="L64" s="5"/>
      <c r="M64" s="5"/>
      <c r="N64" s="5"/>
    </row>
    <row r="65" spans="12:14" x14ac:dyDescent="0.2">
      <c r="L65" s="5"/>
      <c r="M65" s="5"/>
      <c r="N65" s="5"/>
    </row>
    <row r="66" spans="12:14" x14ac:dyDescent="0.2">
      <c r="L66" s="5"/>
      <c r="M66" s="5"/>
      <c r="N66" s="5"/>
    </row>
    <row r="67" spans="12:14" x14ac:dyDescent="0.2">
      <c r="L67" s="5"/>
      <c r="M67" s="5"/>
      <c r="N67" s="5"/>
    </row>
    <row r="68" spans="12:14" x14ac:dyDescent="0.2">
      <c r="L68" s="5"/>
      <c r="M68" s="5"/>
      <c r="N68" s="5"/>
    </row>
    <row r="69" spans="12:14" x14ac:dyDescent="0.2">
      <c r="L69" s="5"/>
      <c r="M69" s="5"/>
      <c r="N69" s="5"/>
    </row>
    <row r="70" spans="12:14" x14ac:dyDescent="0.2">
      <c r="L70" s="5"/>
      <c r="M70" s="5"/>
      <c r="N70" s="5"/>
    </row>
    <row r="71" spans="12:14" x14ac:dyDescent="0.2">
      <c r="L71" s="5"/>
      <c r="M71" s="5"/>
      <c r="N71" s="5"/>
    </row>
    <row r="72" spans="12:14" x14ac:dyDescent="0.2">
      <c r="L72" s="5"/>
      <c r="M72" s="5"/>
      <c r="N72" s="5"/>
    </row>
    <row r="73" spans="12:14" x14ac:dyDescent="0.2">
      <c r="M73" s="38"/>
    </row>
    <row r="74" spans="12:14" x14ac:dyDescent="0.2">
      <c r="L74" s="5"/>
      <c r="M74" s="5"/>
      <c r="N74" s="5"/>
    </row>
    <row r="75" spans="12:14" x14ac:dyDescent="0.2">
      <c r="L75" s="5"/>
      <c r="M75" s="5"/>
      <c r="N75" s="5"/>
    </row>
    <row r="76" spans="12:14" x14ac:dyDescent="0.2">
      <c r="L76" s="5"/>
      <c r="M76" s="5"/>
      <c r="N76" s="5"/>
    </row>
    <row r="77" spans="12:14" x14ac:dyDescent="0.2">
      <c r="L77" s="5"/>
      <c r="M77" s="5"/>
      <c r="N77" s="5"/>
    </row>
    <row r="78" spans="12:14" x14ac:dyDescent="0.2">
      <c r="L78" s="5"/>
      <c r="M78" s="5"/>
      <c r="N78" s="5"/>
    </row>
    <row r="79" spans="12:14" x14ac:dyDescent="0.2">
      <c r="L79" s="5"/>
      <c r="M79" s="5"/>
      <c r="N79" s="5"/>
    </row>
    <row r="80" spans="12:14" x14ac:dyDescent="0.2">
      <c r="L80" s="5"/>
      <c r="M80" s="5"/>
      <c r="N80" s="5"/>
    </row>
    <row r="81" spans="1:65" x14ac:dyDescent="0.2">
      <c r="L81" s="5"/>
      <c r="M81" s="5"/>
      <c r="N81" s="5"/>
    </row>
    <row r="82" spans="1:65" x14ac:dyDescent="0.2">
      <c r="L82" s="5"/>
      <c r="M82" s="5"/>
      <c r="N82" s="5"/>
    </row>
    <row r="83" spans="1:65" x14ac:dyDescent="0.2">
      <c r="M83" s="38"/>
    </row>
    <row r="84" spans="1:65"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row>
    <row r="85" spans="1:65"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row>
    <row r="86" spans="1:65"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row>
    <row r="87" spans="1:65"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row>
    <row r="88" spans="1:65"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row>
    <row r="89" spans="1:65"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row>
    <row r="90" spans="1:65"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row>
    <row r="91" spans="1:65"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row>
    <row r="92" spans="1:65"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row>
    <row r="93" spans="1:65"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row>
    <row r="94" spans="1:65"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row>
    <row r="95" spans="1:65"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row>
    <row r="96" spans="1:65"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row>
    <row r="97" spans="1:65"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row>
    <row r="98" spans="1:65"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row>
    <row r="99" spans="1:65"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row>
    <row r="100" spans="1:65"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row>
    <row r="101" spans="1:65"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row>
    <row r="102" spans="1:65"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row>
    <row r="103" spans="1:65"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row>
    <row r="104" spans="1:65"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row>
    <row r="105" spans="1:65"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row>
    <row r="106" spans="1:65"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row>
    <row r="107" spans="1:65"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row>
    <row r="108" spans="1:65"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row>
    <row r="109" spans="1:65"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row>
    <row r="110" spans="1:65"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row>
    <row r="111" spans="1:65"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row>
    <row r="112" spans="1:65"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row>
    <row r="113" spans="1:65"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row>
    <row r="114" spans="1:65"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row>
    <row r="115" spans="1:65"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row>
    <row r="116" spans="1:65"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row>
    <row r="117" spans="1:65"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row>
    <row r="118" spans="1:65"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row>
    <row r="119" spans="1:65"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row>
    <row r="120" spans="1:65"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row>
    <row r="121" spans="1:65"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row>
    <row r="122" spans="1:65"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row>
    <row r="123" spans="1:65"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row>
    <row r="124" spans="1:65"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row>
    <row r="125" spans="1:65"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row>
    <row r="126" spans="1:65"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row>
    <row r="127" spans="1:65"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row>
    <row r="128" spans="1:65"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row>
    <row r="129" spans="1:65"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row>
    <row r="130" spans="1:65"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row>
    <row r="131" spans="1:65"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row>
    <row r="132" spans="1:65"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row>
    <row r="133" spans="1:65"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row>
    <row r="134" spans="1:65"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row>
    <row r="135" spans="1:65"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row>
    <row r="136" spans="1:65"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row>
    <row r="137" spans="1:65"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row>
    <row r="138" spans="1:65"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row>
    <row r="139" spans="1:65"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row>
    <row r="140" spans="1:65"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row>
    <row r="141" spans="1:65"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row>
    <row r="142" spans="1:65"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row>
    <row r="143" spans="1:65"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row>
    <row r="144" spans="1:65"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row>
    <row r="145" spans="1:65"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row>
    <row r="146" spans="1:65"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row>
    <row r="147" spans="1:65"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row>
    <row r="148" spans="1:65"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row>
    <row r="149" spans="1:65"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row>
    <row r="150" spans="1:6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row>
    <row r="151" spans="1:6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row>
    <row r="152" spans="1:6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row>
    <row r="153" spans="1:6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row>
    <row r="154" spans="1:6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row>
    <row r="155" spans="1:6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row>
    <row r="156" spans="1:6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row>
    <row r="157" spans="1:6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row>
    <row r="158" spans="1:6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row>
    <row r="159" spans="1:6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row>
    <row r="160" spans="1:6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row>
    <row r="161" spans="1:6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row>
    <row r="162" spans="1:6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row>
    <row r="163" spans="1:6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row>
    <row r="164" spans="1:6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row>
    <row r="165" spans="1:6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row>
    <row r="166" spans="1:6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row>
    <row r="167" spans="1:6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row>
    <row r="168" spans="1:6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row>
    <row r="169" spans="1:6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row>
    <row r="170" spans="1:6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row>
    <row r="171" spans="1:6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row>
    <row r="172" spans="1:6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row>
    <row r="173" spans="1:6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row>
    <row r="174" spans="1:6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row>
    <row r="175" spans="1:6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row>
    <row r="176" spans="1:6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row>
    <row r="177" spans="1:6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row>
    <row r="178" spans="1:6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row>
    <row r="179" spans="1:6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row>
    <row r="180" spans="1:65"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row>
    <row r="181" spans="1:65"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row>
    <row r="182" spans="1:65"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row>
    <row r="183" spans="1:65"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row>
    <row r="184" spans="1:65"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row>
    <row r="185" spans="1:65"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row>
  </sheetData>
  <mergeCells count="2">
    <mergeCell ref="C5:F5"/>
    <mergeCell ref="A23:J2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AFBE3-AC1B-094F-BE30-2D7EC06DB32E}">
  <dimension ref="A1:Y37"/>
  <sheetViews>
    <sheetView workbookViewId="0"/>
  </sheetViews>
  <sheetFormatPr baseColWidth="10" defaultColWidth="11" defaultRowHeight="16" outlineLevelCol="1" x14ac:dyDescent="0.2"/>
  <cols>
    <col min="1" max="1" width="4" style="252" customWidth="1"/>
    <col min="2" max="2" width="11.5" customWidth="1"/>
    <col min="12" max="12" width="15" hidden="1" customWidth="1" outlineLevel="1"/>
    <col min="13" max="13" width="11.5" hidden="1" customWidth="1" outlineLevel="1"/>
    <col min="14" max="18" width="10.83203125" hidden="1" customWidth="1" outlineLevel="1"/>
    <col min="19" max="19" width="13.1640625" bestFit="1" customWidth="1" collapsed="1"/>
    <col min="20" max="20" width="11.5" bestFit="1" customWidth="1"/>
  </cols>
  <sheetData>
    <row r="1" spans="1:19" x14ac:dyDescent="0.2">
      <c r="A1" s="347"/>
      <c r="B1" s="226" t="s">
        <v>433</v>
      </c>
      <c r="C1" s="225" t="s">
        <v>505</v>
      </c>
      <c r="D1" s="225" t="s">
        <v>431</v>
      </c>
      <c r="E1" s="225" t="s">
        <v>487</v>
      </c>
      <c r="F1" s="224"/>
      <c r="G1" s="224"/>
      <c r="H1" s="224"/>
      <c r="I1" s="224"/>
      <c r="J1" s="223"/>
      <c r="K1" s="188" t="s">
        <v>177</v>
      </c>
      <c r="L1" s="188"/>
    </row>
    <row r="2" spans="1:19" ht="19" x14ac:dyDescent="0.2">
      <c r="A2" s="298"/>
      <c r="B2" s="346" t="s">
        <v>429</v>
      </c>
      <c r="C2" s="345">
        <v>1.25</v>
      </c>
      <c r="D2" s="195"/>
      <c r="E2" s="195"/>
      <c r="F2" s="195"/>
      <c r="G2" s="195"/>
      <c r="H2" s="195"/>
      <c r="I2" s="195"/>
      <c r="J2" s="194"/>
      <c r="S2" s="381"/>
    </row>
    <row r="3" spans="1:19" x14ac:dyDescent="0.2">
      <c r="A3" s="298"/>
      <c r="B3" s="195"/>
      <c r="C3" s="195"/>
      <c r="D3" s="195"/>
      <c r="E3" s="195"/>
      <c r="F3" s="195"/>
      <c r="G3" s="195"/>
      <c r="H3" s="195"/>
      <c r="I3" s="195"/>
      <c r="J3" s="194"/>
      <c r="L3" s="178" t="s">
        <v>228</v>
      </c>
      <c r="M3" s="178">
        <v>6</v>
      </c>
      <c r="N3" t="s">
        <v>469</v>
      </c>
    </row>
    <row r="4" spans="1:19" x14ac:dyDescent="0.2">
      <c r="A4" s="298"/>
      <c r="B4" s="195"/>
      <c r="C4" s="195" t="s">
        <v>504</v>
      </c>
      <c r="D4" s="195"/>
      <c r="E4" s="195"/>
      <c r="F4" s="195"/>
      <c r="G4" s="195"/>
      <c r="H4" s="195"/>
      <c r="I4" s="195"/>
      <c r="J4" s="194"/>
      <c r="L4" s="178" t="s">
        <v>229</v>
      </c>
      <c r="M4" s="178">
        <v>3</v>
      </c>
      <c r="N4" t="s">
        <v>503</v>
      </c>
    </row>
    <row r="5" spans="1:19" x14ac:dyDescent="0.2">
      <c r="A5" s="298"/>
      <c r="B5" s="195"/>
      <c r="C5" s="195"/>
      <c r="D5" s="195"/>
      <c r="E5" s="195"/>
      <c r="F5" s="195"/>
      <c r="G5" s="195"/>
      <c r="H5" s="195"/>
      <c r="I5" s="195"/>
      <c r="J5" s="194"/>
      <c r="L5" s="388"/>
      <c r="M5" s="415"/>
    </row>
    <row r="6" spans="1:19" x14ac:dyDescent="0.2">
      <c r="A6" s="298"/>
      <c r="B6" s="195"/>
      <c r="C6" s="414" t="s">
        <v>502</v>
      </c>
      <c r="D6" s="414"/>
      <c r="E6" s="414"/>
      <c r="F6" s="414"/>
      <c r="G6" s="195"/>
      <c r="H6" s="195"/>
      <c r="I6" s="195"/>
      <c r="J6" s="194"/>
      <c r="L6" t="s">
        <v>501</v>
      </c>
    </row>
    <row r="7" spans="1:19" x14ac:dyDescent="0.2">
      <c r="A7" s="298"/>
      <c r="B7" s="195"/>
      <c r="C7" s="222" t="s">
        <v>272</v>
      </c>
      <c r="D7" s="344">
        <v>12</v>
      </c>
      <c r="E7" s="211">
        <v>24</v>
      </c>
      <c r="F7" s="210">
        <v>36</v>
      </c>
      <c r="G7" s="195"/>
      <c r="H7" s="195"/>
      <c r="I7" s="195"/>
      <c r="J7" s="194"/>
    </row>
    <row r="8" spans="1:19" x14ac:dyDescent="0.2">
      <c r="A8" s="298"/>
      <c r="B8" s="195"/>
      <c r="C8" s="218" t="s">
        <v>420</v>
      </c>
      <c r="D8" s="341" t="s">
        <v>497</v>
      </c>
      <c r="E8" s="209" t="s">
        <v>497</v>
      </c>
      <c r="F8" s="208" t="s">
        <v>497</v>
      </c>
      <c r="G8" s="195"/>
      <c r="H8" s="195"/>
      <c r="I8" s="195"/>
      <c r="J8" s="194"/>
      <c r="L8" s="185" t="s">
        <v>17</v>
      </c>
      <c r="M8" s="186">
        <v>12</v>
      </c>
      <c r="N8" s="186">
        <v>24</v>
      </c>
      <c r="O8" s="186">
        <v>36</v>
      </c>
    </row>
    <row r="9" spans="1:19" x14ac:dyDescent="0.2">
      <c r="A9" s="298"/>
      <c r="B9" s="195"/>
      <c r="C9" s="221">
        <v>2010</v>
      </c>
      <c r="D9" s="214">
        <v>100</v>
      </c>
      <c r="E9" s="214">
        <v>255</v>
      </c>
      <c r="F9" s="342">
        <v>180</v>
      </c>
      <c r="G9" s="195"/>
      <c r="H9" s="195"/>
      <c r="I9" s="195"/>
      <c r="J9" s="194"/>
      <c r="L9" s="182">
        <v>2010</v>
      </c>
      <c r="M9" s="413">
        <f>(D9-D16)^2/D16</f>
        <v>5</v>
      </c>
      <c r="N9" s="413">
        <f>(E9-E16)^2/E16</f>
        <v>6.75</v>
      </c>
      <c r="O9" s="413">
        <f>(F9-F16)^2/F16</f>
        <v>2</v>
      </c>
    </row>
    <row r="10" spans="1:19" x14ac:dyDescent="0.2">
      <c r="A10" s="298"/>
      <c r="B10" s="195"/>
      <c r="C10" s="221">
        <v>2011</v>
      </c>
      <c r="D10" s="214">
        <v>120</v>
      </c>
      <c r="E10" s="214">
        <v>280</v>
      </c>
      <c r="F10" s="342"/>
      <c r="G10" s="195"/>
      <c r="H10" s="195"/>
      <c r="I10" s="195"/>
      <c r="J10" s="194"/>
      <c r="L10" s="182">
        <v>2011</v>
      </c>
      <c r="M10" s="413">
        <f>(D10-D17)^2/D17</f>
        <v>20</v>
      </c>
      <c r="N10" s="413">
        <f>(E10-E17)^2/E17</f>
        <v>5</v>
      </c>
      <c r="O10" s="413"/>
    </row>
    <row r="11" spans="1:19" x14ac:dyDescent="0.2">
      <c r="A11" s="298"/>
      <c r="B11" s="195"/>
      <c r="C11" s="218">
        <v>2012</v>
      </c>
      <c r="D11" s="209">
        <v>120</v>
      </c>
      <c r="E11" s="209"/>
      <c r="F11" s="208"/>
      <c r="G11" s="195"/>
      <c r="H11" s="195"/>
      <c r="I11" s="195"/>
      <c r="J11" s="194"/>
      <c r="L11" s="182">
        <v>2012</v>
      </c>
      <c r="M11" s="413">
        <f>(D11-D18)^2/D18</f>
        <v>4</v>
      </c>
      <c r="N11" s="413"/>
      <c r="O11" s="413"/>
    </row>
    <row r="12" spans="1:19" x14ac:dyDescent="0.2">
      <c r="A12" s="298"/>
      <c r="B12" s="195"/>
      <c r="C12" s="195"/>
      <c r="D12" s="195"/>
      <c r="E12" s="195"/>
      <c r="F12" s="195"/>
      <c r="G12" s="195"/>
      <c r="H12" s="195"/>
      <c r="I12" s="195"/>
      <c r="J12" s="194"/>
    </row>
    <row r="13" spans="1:19" ht="19" x14ac:dyDescent="0.2">
      <c r="A13" s="298"/>
      <c r="B13" s="214"/>
      <c r="C13" s="275" t="s">
        <v>500</v>
      </c>
      <c r="D13" s="274"/>
      <c r="E13" s="274"/>
      <c r="F13" s="280"/>
      <c r="G13" s="195"/>
      <c r="H13" s="195"/>
      <c r="I13" s="195"/>
      <c r="J13" s="194"/>
      <c r="L13" s="388" t="s">
        <v>499</v>
      </c>
      <c r="M13" s="412">
        <f>(1/(6-3))*(((D9-D16)^2/D16)+((E9-E16)^2/E16)+((F9-F16)^2/F16)+((D10-D17)^2/D17)+((E10-E17)^2/E17)+((D11-D18)^2/D18))</f>
        <v>14.25</v>
      </c>
      <c r="N13" t="s">
        <v>498</v>
      </c>
    </row>
    <row r="14" spans="1:19" x14ac:dyDescent="0.2">
      <c r="A14" s="298"/>
      <c r="B14" s="214"/>
      <c r="C14" s="222" t="s">
        <v>272</v>
      </c>
      <c r="D14" s="344">
        <v>12</v>
      </c>
      <c r="E14" s="211">
        <v>24</v>
      </c>
      <c r="F14" s="210">
        <v>36</v>
      </c>
      <c r="G14" s="195"/>
      <c r="H14" s="195"/>
      <c r="I14" s="195"/>
      <c r="J14" s="194"/>
      <c r="L14" s="355" t="s">
        <v>440</v>
      </c>
      <c r="M14" s="411">
        <f>M13*1000*1500000</f>
        <v>21375000000</v>
      </c>
    </row>
    <row r="15" spans="1:19" ht="17" thickBot="1" x14ac:dyDescent="0.25">
      <c r="A15" s="298"/>
      <c r="B15" s="214"/>
      <c r="C15" s="218" t="s">
        <v>420</v>
      </c>
      <c r="D15" s="341" t="s">
        <v>497</v>
      </c>
      <c r="E15" s="209" t="s">
        <v>497</v>
      </c>
      <c r="F15" s="208" t="s">
        <v>497</v>
      </c>
      <c r="G15" s="195"/>
      <c r="H15" s="195"/>
      <c r="I15" s="195"/>
      <c r="J15" s="194"/>
      <c r="L15" s="355"/>
      <c r="M15" s="355"/>
    </row>
    <row r="16" spans="1:19" ht="17" thickBot="1" x14ac:dyDescent="0.25">
      <c r="A16" s="298"/>
      <c r="B16" s="214"/>
      <c r="C16" s="221">
        <v>2010</v>
      </c>
      <c r="D16" s="214">
        <v>80</v>
      </c>
      <c r="E16" s="214">
        <v>300</v>
      </c>
      <c r="F16" s="342">
        <v>200</v>
      </c>
      <c r="G16" s="195"/>
      <c r="H16" s="195"/>
      <c r="I16" s="195"/>
      <c r="J16" s="194"/>
      <c r="L16" s="350" t="s">
        <v>496</v>
      </c>
      <c r="M16" s="410">
        <f>SQRT(M14+350000^2)</f>
        <v>379308.58150060353</v>
      </c>
    </row>
    <row r="17" spans="1:25" ht="16" customHeight="1" x14ac:dyDescent="0.2">
      <c r="A17" s="298"/>
      <c r="B17" s="214"/>
      <c r="C17" s="221">
        <v>2011</v>
      </c>
      <c r="D17" s="214">
        <v>80</v>
      </c>
      <c r="E17" s="214">
        <v>320</v>
      </c>
      <c r="F17" s="342"/>
      <c r="G17" s="195"/>
      <c r="H17" s="195"/>
      <c r="I17" s="195"/>
      <c r="J17" s="194"/>
      <c r="L17" s="355"/>
      <c r="M17" s="355"/>
      <c r="T17" s="348"/>
      <c r="U17" s="348"/>
      <c r="V17" s="348"/>
      <c r="W17" s="348"/>
      <c r="X17" s="348"/>
      <c r="Y17" s="348"/>
    </row>
    <row r="18" spans="1:25" ht="19" x14ac:dyDescent="0.25">
      <c r="A18" s="298"/>
      <c r="B18" s="214"/>
      <c r="C18" s="218">
        <v>2012</v>
      </c>
      <c r="D18" s="209">
        <v>100</v>
      </c>
      <c r="E18" s="209"/>
      <c r="F18" s="208"/>
      <c r="G18" s="195"/>
      <c r="H18" s="195"/>
      <c r="I18" s="195"/>
      <c r="J18" s="194"/>
      <c r="L18" s="174" t="s">
        <v>129</v>
      </c>
      <c r="M18" s="355"/>
    </row>
    <row r="19" spans="1:25" x14ac:dyDescent="0.2">
      <c r="A19" s="298"/>
      <c r="B19" s="214"/>
      <c r="C19" s="195"/>
      <c r="D19" s="195"/>
      <c r="E19" s="195"/>
      <c r="F19" s="195"/>
      <c r="G19" s="195"/>
      <c r="H19" s="195"/>
      <c r="I19" s="195"/>
      <c r="J19" s="194"/>
      <c r="L19" s="155" t="s">
        <v>495</v>
      </c>
      <c r="M19" s="155"/>
      <c r="N19" s="155"/>
      <c r="O19" s="155"/>
      <c r="P19" s="155"/>
      <c r="Q19" s="155"/>
      <c r="R19" s="155"/>
    </row>
    <row r="20" spans="1:25" x14ac:dyDescent="0.2">
      <c r="A20" s="298"/>
      <c r="B20" s="214"/>
      <c r="C20" s="195" t="s">
        <v>494</v>
      </c>
      <c r="D20" s="195"/>
      <c r="E20" s="195"/>
      <c r="F20" s="195"/>
      <c r="G20" s="195"/>
      <c r="H20" s="195"/>
      <c r="I20" s="195"/>
      <c r="J20" s="194"/>
      <c r="L20" s="155"/>
      <c r="M20" s="155"/>
      <c r="N20" s="155"/>
      <c r="O20" s="155"/>
      <c r="P20" s="155"/>
      <c r="Q20" s="155"/>
      <c r="R20" s="155"/>
    </row>
    <row r="21" spans="1:25" x14ac:dyDescent="0.2">
      <c r="A21" s="298"/>
      <c r="B21" s="214"/>
      <c r="C21" s="195" t="s">
        <v>493</v>
      </c>
      <c r="D21" s="195"/>
      <c r="E21" s="195"/>
      <c r="F21" s="195"/>
      <c r="G21" s="195"/>
      <c r="H21" s="195"/>
      <c r="I21" s="195"/>
      <c r="J21" s="194"/>
      <c r="L21" s="155"/>
      <c r="M21" s="155"/>
      <c r="N21" s="155"/>
      <c r="O21" s="155"/>
      <c r="P21" s="155"/>
      <c r="Q21" s="155"/>
      <c r="R21" s="155"/>
    </row>
    <row r="22" spans="1:25" x14ac:dyDescent="0.2">
      <c r="A22" s="298"/>
      <c r="B22" s="214"/>
      <c r="C22" s="195" t="s">
        <v>492</v>
      </c>
      <c r="D22" s="195"/>
      <c r="E22" s="195"/>
      <c r="F22" s="195"/>
      <c r="G22" s="195"/>
      <c r="H22" s="195"/>
      <c r="I22" s="195"/>
      <c r="J22" s="194"/>
    </row>
    <row r="23" spans="1:25" ht="19" x14ac:dyDescent="0.2">
      <c r="A23" s="298"/>
      <c r="B23" s="214"/>
      <c r="C23" s="195"/>
      <c r="D23" s="195"/>
      <c r="E23" s="195"/>
      <c r="F23" s="195"/>
      <c r="G23" s="195"/>
      <c r="H23" s="195"/>
      <c r="I23" s="195"/>
      <c r="J23" s="194"/>
      <c r="L23" s="381" t="s">
        <v>220</v>
      </c>
    </row>
    <row r="24" spans="1:25" x14ac:dyDescent="0.2">
      <c r="A24" s="298"/>
      <c r="B24" s="195"/>
      <c r="C24" s="195" t="s">
        <v>491</v>
      </c>
      <c r="D24" s="195"/>
      <c r="E24" s="195"/>
      <c r="F24" s="195"/>
      <c r="G24" s="195"/>
      <c r="H24" s="195"/>
      <c r="I24" s="195"/>
      <c r="J24" s="194"/>
      <c r="L24" s="348" t="s">
        <v>490</v>
      </c>
    </row>
    <row r="25" spans="1:25" x14ac:dyDescent="0.2">
      <c r="A25" s="298"/>
      <c r="B25" s="195"/>
      <c r="C25" s="197" t="s">
        <v>489</v>
      </c>
      <c r="D25" s="195"/>
      <c r="E25" s="195"/>
      <c r="F25" s="195"/>
      <c r="G25" s="195"/>
      <c r="H25" s="195"/>
      <c r="I25" s="195"/>
      <c r="J25" s="194"/>
    </row>
    <row r="26" spans="1:25" ht="17" thickBot="1" x14ac:dyDescent="0.25">
      <c r="A26" s="298"/>
      <c r="B26" s="195"/>
      <c r="C26" s="197"/>
      <c r="D26" s="195"/>
      <c r="E26" s="195"/>
      <c r="F26" s="195"/>
      <c r="G26" s="195"/>
      <c r="H26" s="195"/>
      <c r="I26" s="195"/>
      <c r="J26" s="194"/>
      <c r="L26" s="188"/>
    </row>
    <row r="27" spans="1:25" ht="17" thickBot="1" x14ac:dyDescent="0.25">
      <c r="A27" s="312" t="s">
        <v>176</v>
      </c>
      <c r="B27" s="190"/>
      <c r="C27" s="311"/>
      <c r="D27" s="190"/>
      <c r="E27" s="190"/>
      <c r="F27" s="190"/>
      <c r="G27" s="190"/>
      <c r="H27" s="190"/>
      <c r="I27" s="190"/>
      <c r="J27" s="189"/>
    </row>
    <row r="28" spans="1:25" x14ac:dyDescent="0.2">
      <c r="M28" s="409"/>
    </row>
    <row r="29" spans="1:25" x14ac:dyDescent="0.2">
      <c r="M29" s="409"/>
    </row>
    <row r="30" spans="1:25" x14ac:dyDescent="0.2">
      <c r="M30" s="409"/>
    </row>
    <row r="31" spans="1:25" x14ac:dyDescent="0.2">
      <c r="M31" s="409"/>
    </row>
    <row r="32" spans="1:25" x14ac:dyDescent="0.2">
      <c r="M32" s="409"/>
    </row>
    <row r="34" spans="12:13" x14ac:dyDescent="0.2">
      <c r="M34" s="408"/>
    </row>
    <row r="37" spans="12:13" x14ac:dyDescent="0.2">
      <c r="L37" s="188"/>
      <c r="M37" s="310"/>
    </row>
  </sheetData>
  <mergeCells count="3">
    <mergeCell ref="C6:F6"/>
    <mergeCell ref="C13:F13"/>
    <mergeCell ref="L19:R21"/>
  </mergeCells>
  <pageMargins left="0.7" right="0.7" top="0.75" bottom="0.75" header="0.3" footer="0.3"/>
  <pageSetup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15C47-662D-F74A-BF92-EEA1FBF831EB}">
  <dimension ref="A1:Y49"/>
  <sheetViews>
    <sheetView workbookViewId="0"/>
  </sheetViews>
  <sheetFormatPr baseColWidth="10" defaultColWidth="11" defaultRowHeight="16" outlineLevelCol="1" x14ac:dyDescent="0.2"/>
  <cols>
    <col min="1" max="1" width="4" style="252" customWidth="1"/>
    <col min="2" max="2" width="11.5" customWidth="1"/>
    <col min="12" max="12" width="10.83203125" hidden="1" customWidth="1" outlineLevel="1"/>
    <col min="13" max="13" width="13.33203125" hidden="1" customWidth="1" outlineLevel="1"/>
    <col min="14" max="18" width="10.83203125" hidden="1" customWidth="1" outlineLevel="1"/>
    <col min="19" max="19" width="11.6640625" bestFit="1" customWidth="1" collapsed="1"/>
    <col min="20" max="20" width="11.83203125" bestFit="1" customWidth="1"/>
  </cols>
  <sheetData>
    <row r="1" spans="1:13" x14ac:dyDescent="0.2">
      <c r="A1" s="347"/>
      <c r="B1" s="226" t="s">
        <v>433</v>
      </c>
      <c r="C1" s="225" t="s">
        <v>505</v>
      </c>
      <c r="D1" s="225" t="s">
        <v>431</v>
      </c>
      <c r="E1" s="225" t="s">
        <v>537</v>
      </c>
      <c r="F1" s="224"/>
      <c r="G1" s="224"/>
      <c r="H1" s="224"/>
      <c r="I1" s="224"/>
      <c r="J1" s="223"/>
      <c r="K1" s="188" t="s">
        <v>177</v>
      </c>
      <c r="L1" s="188"/>
    </row>
    <row r="2" spans="1:13" x14ac:dyDescent="0.2">
      <c r="A2" s="298"/>
      <c r="B2" s="346" t="s">
        <v>429</v>
      </c>
      <c r="C2" s="345">
        <v>3.25</v>
      </c>
      <c r="D2" s="195"/>
      <c r="E2" s="195"/>
      <c r="F2" s="195"/>
      <c r="G2" s="195"/>
      <c r="H2" s="195"/>
      <c r="I2" s="195"/>
      <c r="J2" s="194"/>
    </row>
    <row r="3" spans="1:13" x14ac:dyDescent="0.2">
      <c r="A3" s="298"/>
      <c r="B3" s="195"/>
      <c r="C3" s="195"/>
      <c r="D3" s="195"/>
      <c r="E3" s="195"/>
      <c r="F3" s="195"/>
      <c r="G3" s="195"/>
      <c r="H3" s="195"/>
      <c r="I3" s="195"/>
      <c r="J3" s="194"/>
      <c r="L3" s="188" t="s">
        <v>428</v>
      </c>
    </row>
    <row r="4" spans="1:13" x14ac:dyDescent="0.2">
      <c r="A4" s="298"/>
      <c r="B4" s="195"/>
      <c r="C4" s="195" t="s">
        <v>536</v>
      </c>
      <c r="D4" s="195"/>
      <c r="E4" s="195"/>
      <c r="F4" s="195"/>
      <c r="G4" s="195"/>
      <c r="H4" s="195"/>
      <c r="I4" s="195"/>
      <c r="J4" s="194"/>
    </row>
    <row r="5" spans="1:13" x14ac:dyDescent="0.2">
      <c r="A5" s="298"/>
      <c r="B5" s="195"/>
      <c r="C5" s="195" t="s">
        <v>535</v>
      </c>
      <c r="D5" s="195"/>
      <c r="E5" s="195"/>
      <c r="F5" s="195"/>
      <c r="G5" s="195"/>
      <c r="H5" s="195"/>
      <c r="I5" s="195"/>
      <c r="J5" s="194"/>
      <c r="L5" s="355" t="s">
        <v>534</v>
      </c>
      <c r="M5" s="355">
        <f>36-6</f>
        <v>30</v>
      </c>
    </row>
    <row r="6" spans="1:13" x14ac:dyDescent="0.2">
      <c r="A6" s="298"/>
      <c r="B6" s="195"/>
      <c r="C6" s="195"/>
      <c r="D6" s="195"/>
      <c r="E6" s="195"/>
      <c r="F6" s="195"/>
      <c r="G6" s="195"/>
      <c r="H6" s="195"/>
      <c r="I6" s="195"/>
      <c r="J6" s="194"/>
      <c r="L6" s="355"/>
      <c r="M6" s="355"/>
    </row>
    <row r="7" spans="1:13" x14ac:dyDescent="0.2">
      <c r="A7" s="298"/>
      <c r="B7" s="195"/>
      <c r="C7" s="195" t="s">
        <v>533</v>
      </c>
      <c r="D7" s="195"/>
      <c r="E7" s="195"/>
      <c r="F7" s="195"/>
      <c r="G7" s="195"/>
      <c r="H7" s="195"/>
      <c r="I7" s="195"/>
      <c r="J7" s="194"/>
      <c r="L7" s="355" t="s">
        <v>532</v>
      </c>
      <c r="M7" s="405">
        <f>M5^D13/(M5^D13+D14^D13)</f>
        <v>0.63595698143749091</v>
      </c>
    </row>
    <row r="8" spans="1:13" x14ac:dyDescent="0.2">
      <c r="A8" s="298"/>
      <c r="B8" s="195"/>
      <c r="C8" s="195" t="s">
        <v>531</v>
      </c>
      <c r="D8" s="195"/>
      <c r="E8" s="195"/>
      <c r="F8" s="195"/>
      <c r="G8" s="195"/>
      <c r="H8" s="195"/>
      <c r="I8" s="195"/>
      <c r="J8" s="194"/>
      <c r="L8" s="355"/>
      <c r="M8" s="355"/>
    </row>
    <row r="9" spans="1:13" x14ac:dyDescent="0.2">
      <c r="A9" s="298"/>
      <c r="B9" s="195"/>
      <c r="C9" s="195" t="s">
        <v>530</v>
      </c>
      <c r="D9" s="195"/>
      <c r="E9" s="195"/>
      <c r="F9" s="195"/>
      <c r="G9" s="195"/>
      <c r="H9" s="195"/>
      <c r="I9" s="195"/>
      <c r="J9" s="194"/>
      <c r="L9" s="355" t="s">
        <v>529</v>
      </c>
      <c r="M9" s="420">
        <f>1000*800</f>
        <v>800000</v>
      </c>
    </row>
    <row r="10" spans="1:13" ht="17" thickBot="1" x14ac:dyDescent="0.25">
      <c r="A10" s="298"/>
      <c r="B10" s="195"/>
      <c r="C10" s="195"/>
      <c r="D10" s="195"/>
      <c r="E10" s="195"/>
      <c r="F10" s="195"/>
      <c r="G10" s="195"/>
      <c r="H10" s="195"/>
      <c r="I10" s="195"/>
      <c r="J10" s="194"/>
      <c r="L10" s="355"/>
      <c r="M10" s="355"/>
    </row>
    <row r="11" spans="1:13" ht="19" thickBot="1" x14ac:dyDescent="0.25">
      <c r="A11" s="298"/>
      <c r="B11" s="195"/>
      <c r="C11" s="195"/>
      <c r="D11" s="195"/>
      <c r="E11" s="195"/>
      <c r="F11" s="195"/>
      <c r="G11" s="195"/>
      <c r="H11" s="195"/>
      <c r="I11" s="195"/>
      <c r="J11" s="194"/>
      <c r="L11" s="350" t="s">
        <v>528</v>
      </c>
      <c r="M11" s="351">
        <f>M9*M7</f>
        <v>508765.58514999272</v>
      </c>
    </row>
    <row r="12" spans="1:13" x14ac:dyDescent="0.2">
      <c r="A12" s="298"/>
      <c r="B12" s="195"/>
      <c r="C12" s="195"/>
      <c r="D12" s="195"/>
      <c r="E12" s="195"/>
      <c r="F12" s="195"/>
      <c r="G12" s="195"/>
      <c r="H12" s="195"/>
      <c r="I12" s="195"/>
      <c r="J12" s="194"/>
      <c r="L12" s="355"/>
      <c r="M12" s="355"/>
    </row>
    <row r="13" spans="1:13" x14ac:dyDescent="0.2">
      <c r="A13" s="298"/>
      <c r="B13" s="195"/>
      <c r="C13" s="421" t="s">
        <v>527</v>
      </c>
      <c r="D13" s="259">
        <v>2.5</v>
      </c>
      <c r="E13" s="195"/>
      <c r="F13" s="195"/>
      <c r="G13" s="195"/>
      <c r="H13" s="195"/>
      <c r="I13" s="195"/>
      <c r="J13" s="194"/>
      <c r="L13" s="188" t="s">
        <v>409</v>
      </c>
      <c r="M13" s="355"/>
    </row>
    <row r="14" spans="1:13" x14ac:dyDescent="0.2">
      <c r="A14" s="298"/>
      <c r="B14" s="214"/>
      <c r="C14" s="195" t="s">
        <v>526</v>
      </c>
      <c r="D14" s="259">
        <v>24</v>
      </c>
      <c r="E14" s="195"/>
      <c r="F14" s="195"/>
      <c r="G14" s="195"/>
      <c r="H14" s="195"/>
      <c r="I14" s="195"/>
      <c r="J14" s="194"/>
      <c r="L14" s="355"/>
      <c r="M14" s="355"/>
    </row>
    <row r="15" spans="1:13" x14ac:dyDescent="0.2">
      <c r="A15" s="298"/>
      <c r="B15" s="214"/>
      <c r="C15" s="195"/>
      <c r="D15" s="195"/>
      <c r="E15" s="195"/>
      <c r="F15" s="195"/>
      <c r="G15" s="195"/>
      <c r="H15" s="195"/>
      <c r="I15" s="195"/>
      <c r="J15" s="194"/>
      <c r="L15" s="355" t="s">
        <v>525</v>
      </c>
      <c r="M15" s="373">
        <v>650000</v>
      </c>
    </row>
    <row r="16" spans="1:13" ht="17" thickBot="1" x14ac:dyDescent="0.25">
      <c r="A16" s="298" t="s">
        <v>0</v>
      </c>
      <c r="B16" s="259" t="s">
        <v>396</v>
      </c>
      <c r="C16" s="195" t="s">
        <v>524</v>
      </c>
      <c r="D16" s="195"/>
      <c r="E16" s="195"/>
      <c r="F16" s="195"/>
      <c r="G16" s="195"/>
      <c r="H16" s="195"/>
      <c r="I16" s="195"/>
      <c r="J16" s="194"/>
      <c r="L16" s="355"/>
      <c r="M16" s="355"/>
    </row>
    <row r="17" spans="1:18" ht="19" thickBot="1" x14ac:dyDescent="0.25">
      <c r="A17" s="298"/>
      <c r="B17" s="214"/>
      <c r="C17" s="195" t="s">
        <v>523</v>
      </c>
      <c r="D17" s="195"/>
      <c r="E17" s="195"/>
      <c r="F17" s="195"/>
      <c r="G17" s="195"/>
      <c r="H17" s="195"/>
      <c r="I17" s="195"/>
      <c r="J17" s="194"/>
      <c r="L17" s="350" t="s">
        <v>522</v>
      </c>
      <c r="M17" s="351">
        <f>M15+(1-M7)*M9</f>
        <v>941234.41485000728</v>
      </c>
    </row>
    <row r="18" spans="1:18" x14ac:dyDescent="0.2">
      <c r="A18" s="298"/>
      <c r="B18" s="214"/>
      <c r="C18" s="195"/>
      <c r="D18" s="195"/>
      <c r="E18" s="195"/>
      <c r="F18" s="195"/>
      <c r="G18" s="195"/>
      <c r="H18" s="195"/>
      <c r="I18" s="195"/>
      <c r="J18" s="194"/>
      <c r="L18" s="355"/>
      <c r="M18" s="355"/>
    </row>
    <row r="19" spans="1:18" x14ac:dyDescent="0.2">
      <c r="A19" s="298" t="s">
        <v>1</v>
      </c>
      <c r="B19" s="259" t="s">
        <v>521</v>
      </c>
      <c r="C19" s="195" t="s">
        <v>520</v>
      </c>
      <c r="D19" s="195"/>
      <c r="E19" s="195"/>
      <c r="F19" s="195"/>
      <c r="G19" s="195"/>
      <c r="H19" s="195"/>
      <c r="I19" s="195"/>
      <c r="J19" s="194"/>
      <c r="L19" s="188" t="s">
        <v>436</v>
      </c>
      <c r="M19" s="355"/>
    </row>
    <row r="20" spans="1:18" x14ac:dyDescent="0.2">
      <c r="A20" s="298"/>
      <c r="B20" s="214"/>
      <c r="C20" s="195" t="s">
        <v>519</v>
      </c>
      <c r="D20" s="195"/>
      <c r="E20" s="195"/>
      <c r="F20" s="195"/>
      <c r="G20" s="195"/>
      <c r="H20" s="195"/>
      <c r="I20" s="195"/>
      <c r="J20" s="194"/>
      <c r="L20" s="355"/>
      <c r="M20" s="355"/>
    </row>
    <row r="21" spans="1:18" x14ac:dyDescent="0.2">
      <c r="A21" s="298"/>
      <c r="B21" s="214"/>
      <c r="C21" s="195" t="s">
        <v>518</v>
      </c>
      <c r="D21" s="195"/>
      <c r="E21" s="195"/>
      <c r="F21" s="195"/>
      <c r="G21" s="195"/>
      <c r="H21" s="195"/>
      <c r="I21" s="195"/>
      <c r="J21" s="194"/>
      <c r="L21" s="355" t="s">
        <v>517</v>
      </c>
      <c r="M21" s="405">
        <f>1/M7</f>
        <v>1.572433402239946</v>
      </c>
    </row>
    <row r="22" spans="1:18" ht="17" thickBot="1" x14ac:dyDescent="0.25">
      <c r="A22" s="298"/>
      <c r="B22" s="214"/>
      <c r="C22" s="195"/>
      <c r="D22" s="195"/>
      <c r="E22" s="195"/>
      <c r="F22" s="195"/>
      <c r="G22" s="195"/>
      <c r="H22" s="195"/>
      <c r="I22" s="195"/>
      <c r="J22" s="194"/>
      <c r="L22" s="355"/>
      <c r="M22" s="355"/>
    </row>
    <row r="23" spans="1:18" ht="19" thickBot="1" x14ac:dyDescent="0.25">
      <c r="A23" s="298" t="s">
        <v>2</v>
      </c>
      <c r="B23" s="259" t="s">
        <v>442</v>
      </c>
      <c r="C23" s="195" t="s">
        <v>516</v>
      </c>
      <c r="D23" s="195"/>
      <c r="E23" s="195"/>
      <c r="F23" s="195"/>
      <c r="G23" s="195"/>
      <c r="H23" s="195"/>
      <c r="I23" s="195"/>
      <c r="J23" s="194"/>
      <c r="L23" s="350" t="s">
        <v>515</v>
      </c>
      <c r="M23" s="351">
        <f>M15*M21</f>
        <v>1022081.7114559649</v>
      </c>
    </row>
    <row r="24" spans="1:18" ht="15.75" customHeight="1" x14ac:dyDescent="0.2">
      <c r="A24" s="298"/>
      <c r="B24" s="195"/>
      <c r="C24" s="195" t="s">
        <v>514</v>
      </c>
      <c r="D24" s="195"/>
      <c r="E24" s="195"/>
      <c r="F24" s="195"/>
      <c r="G24" s="195"/>
      <c r="H24" s="195"/>
      <c r="I24" s="195"/>
      <c r="J24" s="194"/>
    </row>
    <row r="25" spans="1:18" x14ac:dyDescent="0.2">
      <c r="A25" s="298"/>
      <c r="B25" s="195"/>
      <c r="C25" s="197"/>
      <c r="D25" s="195"/>
      <c r="E25" s="195"/>
      <c r="F25" s="195"/>
      <c r="G25" s="195"/>
      <c r="H25" s="195"/>
      <c r="I25" s="195"/>
      <c r="J25" s="194"/>
      <c r="L25" s="188" t="s">
        <v>513</v>
      </c>
    </row>
    <row r="26" spans="1:18" x14ac:dyDescent="0.2">
      <c r="A26" s="298" t="s">
        <v>138</v>
      </c>
      <c r="B26" s="195" t="s">
        <v>396</v>
      </c>
      <c r="C26" s="197" t="s">
        <v>512</v>
      </c>
      <c r="D26" s="195"/>
      <c r="E26" s="195"/>
      <c r="F26" s="195"/>
      <c r="G26" s="195"/>
      <c r="H26" s="195"/>
      <c r="I26" s="195"/>
      <c r="J26" s="194"/>
      <c r="L26" s="419" t="s">
        <v>511</v>
      </c>
      <c r="M26" s="419"/>
      <c r="N26" s="419"/>
      <c r="O26" s="419"/>
      <c r="P26" s="419"/>
      <c r="Q26" s="419"/>
      <c r="R26" s="419"/>
    </row>
    <row r="27" spans="1:18" x14ac:dyDescent="0.2">
      <c r="A27" s="298"/>
      <c r="B27" s="195"/>
      <c r="C27" s="195" t="s">
        <v>510</v>
      </c>
      <c r="D27" s="195"/>
      <c r="E27" s="195"/>
      <c r="F27" s="195"/>
      <c r="G27" s="195"/>
      <c r="H27" s="195"/>
      <c r="I27" s="195"/>
      <c r="J27" s="194"/>
      <c r="L27" s="419"/>
      <c r="M27" s="419"/>
      <c r="N27" s="419"/>
      <c r="O27" s="419"/>
      <c r="P27" s="419"/>
      <c r="Q27" s="419"/>
      <c r="R27" s="419"/>
    </row>
    <row r="28" spans="1:18" ht="17" thickBot="1" x14ac:dyDescent="0.25">
      <c r="A28" s="295"/>
      <c r="B28" s="314"/>
      <c r="C28" s="315"/>
      <c r="D28" s="314"/>
      <c r="E28" s="314"/>
      <c r="F28" s="314"/>
      <c r="G28" s="314"/>
      <c r="H28" s="314"/>
      <c r="I28" s="314"/>
      <c r="J28" s="313"/>
      <c r="L28" s="383"/>
      <c r="M28" s="383"/>
      <c r="N28" s="383"/>
      <c r="O28" s="383"/>
      <c r="P28" s="383"/>
      <c r="Q28" s="383"/>
      <c r="R28" s="383"/>
    </row>
    <row r="29" spans="1:18" ht="19" thickBot="1" x14ac:dyDescent="0.25">
      <c r="A29" s="312" t="s">
        <v>176</v>
      </c>
      <c r="B29" s="190"/>
      <c r="C29" s="311"/>
      <c r="D29" s="190"/>
      <c r="E29" s="190"/>
      <c r="F29" s="190"/>
      <c r="G29" s="190"/>
      <c r="H29" s="190"/>
      <c r="I29" s="190"/>
      <c r="J29" s="189"/>
      <c r="L29" s="355" t="s">
        <v>509</v>
      </c>
      <c r="M29" s="420">
        <f>M7*M23+(1-M7)*M17</f>
        <v>992649.81755691359</v>
      </c>
    </row>
    <row r="30" spans="1:18" ht="17" thickBot="1" x14ac:dyDescent="0.25"/>
    <row r="31" spans="1:18" ht="19" thickBot="1" x14ac:dyDescent="0.25">
      <c r="L31" s="350" t="s">
        <v>507</v>
      </c>
      <c r="M31" s="351">
        <f>M29-650000</f>
        <v>342649.81755691359</v>
      </c>
    </row>
    <row r="33" spans="10:25" ht="19" x14ac:dyDescent="0.25">
      <c r="L33" s="174" t="s">
        <v>129</v>
      </c>
    </row>
    <row r="34" spans="10:25" x14ac:dyDescent="0.2">
      <c r="L34" s="419" t="s">
        <v>508</v>
      </c>
      <c r="M34" s="419"/>
      <c r="N34" s="419"/>
      <c r="O34" s="419"/>
      <c r="P34" s="419"/>
      <c r="Q34" s="419"/>
      <c r="R34" s="419"/>
    </row>
    <row r="35" spans="10:25" x14ac:dyDescent="0.2">
      <c r="L35" s="419"/>
      <c r="M35" s="419"/>
      <c r="N35" s="419"/>
      <c r="O35" s="419"/>
      <c r="P35" s="419"/>
      <c r="Q35" s="419"/>
      <c r="R35" s="419"/>
    </row>
    <row r="36" spans="10:25" x14ac:dyDescent="0.2">
      <c r="L36" s="419"/>
      <c r="M36" s="419"/>
      <c r="N36" s="419"/>
      <c r="O36" s="419"/>
      <c r="P36" s="419"/>
      <c r="Q36" s="419"/>
      <c r="R36" s="419"/>
    </row>
    <row r="37" spans="10:25" x14ac:dyDescent="0.2">
      <c r="L37" s="419"/>
      <c r="M37" s="419"/>
      <c r="N37" s="419"/>
      <c r="O37" s="419"/>
      <c r="P37" s="419"/>
      <c r="Q37" s="419"/>
      <c r="R37" s="419"/>
    </row>
    <row r="38" spans="10:25" x14ac:dyDescent="0.2">
      <c r="L38" s="419"/>
      <c r="M38" s="419"/>
      <c r="N38" s="419"/>
      <c r="O38" s="419"/>
      <c r="P38" s="419"/>
      <c r="Q38" s="419"/>
      <c r="R38" s="419"/>
    </row>
    <row r="39" spans="10:25" x14ac:dyDescent="0.2">
      <c r="L39" s="419"/>
      <c r="M39" s="419"/>
      <c r="N39" s="419"/>
      <c r="O39" s="419"/>
      <c r="P39" s="419"/>
      <c r="Q39" s="419"/>
      <c r="R39" s="419"/>
    </row>
    <row r="40" spans="10:25" x14ac:dyDescent="0.2">
      <c r="L40" s="419"/>
      <c r="M40" s="419"/>
      <c r="N40" s="419"/>
      <c r="O40" s="419"/>
      <c r="P40" s="419"/>
      <c r="Q40" s="419"/>
      <c r="R40" s="419"/>
    </row>
    <row r="41" spans="10:25" x14ac:dyDescent="0.2">
      <c r="L41" s="419"/>
      <c r="M41" s="419"/>
      <c r="N41" s="419"/>
      <c r="O41" s="419"/>
      <c r="P41" s="419"/>
      <c r="Q41" s="419"/>
      <c r="R41" s="419"/>
    </row>
    <row r="42" spans="10:25" ht="17" thickBot="1" x14ac:dyDescent="0.25"/>
    <row r="43" spans="10:25" ht="19" thickBot="1" x14ac:dyDescent="0.25">
      <c r="L43" s="350" t="s">
        <v>507</v>
      </c>
      <c r="M43" s="351">
        <f>(1-M7)*M17</f>
        <v>342649.81755691359</v>
      </c>
    </row>
    <row r="45" spans="10:25" ht="19" x14ac:dyDescent="0.2">
      <c r="L45" s="381" t="s">
        <v>220</v>
      </c>
    </row>
    <row r="46" spans="10:25" x14ac:dyDescent="0.2">
      <c r="L46" s="418" t="s">
        <v>490</v>
      </c>
      <c r="M46" s="418"/>
      <c r="N46" s="418"/>
      <c r="O46" s="418"/>
      <c r="P46" s="418"/>
      <c r="Q46" s="418"/>
      <c r="S46" s="383"/>
      <c r="T46" s="383"/>
      <c r="U46" s="383"/>
      <c r="V46" s="383"/>
      <c r="W46" s="383"/>
      <c r="X46" s="383"/>
      <c r="Y46" s="383"/>
    </row>
    <row r="47" spans="10:25" x14ac:dyDescent="0.2">
      <c r="J47" s="417"/>
      <c r="K47" s="417"/>
      <c r="L47" s="418" t="s">
        <v>462</v>
      </c>
      <c r="M47" s="418"/>
      <c r="N47" s="418"/>
      <c r="O47" s="418"/>
      <c r="P47" s="418"/>
      <c r="Q47" s="418"/>
      <c r="R47" s="383"/>
    </row>
    <row r="48" spans="10:25" x14ac:dyDescent="0.2">
      <c r="L48" s="418" t="s">
        <v>506</v>
      </c>
      <c r="M48" s="418"/>
      <c r="N48" s="418"/>
      <c r="O48" s="418"/>
      <c r="P48" s="418"/>
      <c r="Q48" s="418"/>
      <c r="R48" s="383"/>
      <c r="T48" s="416"/>
      <c r="U48" s="416"/>
      <c r="V48" s="416"/>
      <c r="W48" s="416"/>
      <c r="X48" s="416"/>
    </row>
    <row r="49" spans="12:24" x14ac:dyDescent="0.2">
      <c r="L49" s="417"/>
      <c r="M49" s="417"/>
      <c r="N49" s="417"/>
      <c r="O49" s="417"/>
      <c r="P49" s="417"/>
      <c r="S49" s="416"/>
      <c r="T49" s="416"/>
      <c r="U49" s="416"/>
      <c r="V49" s="416"/>
      <c r="W49" s="416"/>
      <c r="X49" s="416"/>
    </row>
  </sheetData>
  <mergeCells count="4">
    <mergeCell ref="T48:X48"/>
    <mergeCell ref="S49:X49"/>
    <mergeCell ref="L34:R41"/>
    <mergeCell ref="L26:R27"/>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A4B22-9D5F-EE48-8DDB-F3C8F89FF544}">
  <dimension ref="A1:S44"/>
  <sheetViews>
    <sheetView workbookViewId="0"/>
  </sheetViews>
  <sheetFormatPr baseColWidth="10" defaultColWidth="11" defaultRowHeight="16" outlineLevelCol="1" x14ac:dyDescent="0.2"/>
  <cols>
    <col min="1" max="1" width="4" style="252" customWidth="1"/>
    <col min="2" max="2" width="11.5" customWidth="1"/>
    <col min="9" max="9" width="11.83203125" bestFit="1" customWidth="1"/>
    <col min="12" max="12" width="13.1640625" hidden="1" customWidth="1" outlineLevel="1"/>
    <col min="13" max="18" width="10.83203125" hidden="1" customWidth="1" outlineLevel="1"/>
    <col min="19" max="19" width="11" collapsed="1"/>
  </cols>
  <sheetData>
    <row r="1" spans="1:17" x14ac:dyDescent="0.2">
      <c r="A1" s="347"/>
      <c r="B1" s="226" t="s">
        <v>433</v>
      </c>
      <c r="C1" s="225" t="s">
        <v>557</v>
      </c>
      <c r="D1" s="225" t="s">
        <v>431</v>
      </c>
      <c r="E1" s="225" t="s">
        <v>430</v>
      </c>
      <c r="F1" s="224"/>
      <c r="G1" s="224"/>
      <c r="H1" s="224"/>
      <c r="I1" s="224"/>
      <c r="J1" s="223"/>
      <c r="K1" s="188" t="s">
        <v>177</v>
      </c>
      <c r="L1" s="188"/>
    </row>
    <row r="2" spans="1:17" x14ac:dyDescent="0.2">
      <c r="A2" s="298"/>
      <c r="B2" s="346" t="s">
        <v>429</v>
      </c>
      <c r="C2" s="345">
        <v>2.5</v>
      </c>
      <c r="D2" s="195"/>
      <c r="E2" s="195"/>
      <c r="F2" s="195"/>
      <c r="G2" s="195"/>
      <c r="H2" s="195"/>
      <c r="I2" s="195"/>
      <c r="J2" s="194"/>
    </row>
    <row r="3" spans="1:17" x14ac:dyDescent="0.2">
      <c r="A3" s="298"/>
      <c r="B3" s="195"/>
      <c r="C3" s="195"/>
      <c r="D3" s="195"/>
      <c r="E3" s="195"/>
      <c r="F3" s="195"/>
      <c r="G3" s="195"/>
      <c r="H3" s="195"/>
      <c r="I3" s="195"/>
      <c r="J3" s="194"/>
      <c r="L3" s="188" t="s">
        <v>428</v>
      </c>
      <c r="M3" s="254"/>
    </row>
    <row r="4" spans="1:17" x14ac:dyDescent="0.2">
      <c r="A4" s="298"/>
      <c r="B4" s="195"/>
      <c r="C4" s="195" t="s">
        <v>556</v>
      </c>
      <c r="D4" s="195"/>
      <c r="E4" s="195"/>
      <c r="F4" s="195"/>
      <c r="G4" s="195"/>
      <c r="H4" s="195"/>
      <c r="I4" s="195"/>
      <c r="J4" s="194"/>
      <c r="M4" s="254"/>
    </row>
    <row r="5" spans="1:17" ht="18" x14ac:dyDescent="0.25">
      <c r="A5" s="298"/>
      <c r="B5" s="195"/>
      <c r="C5" s="195"/>
      <c r="D5" s="195"/>
      <c r="E5" s="195"/>
      <c r="F5" s="195"/>
      <c r="G5" s="195"/>
      <c r="H5" s="195"/>
      <c r="I5" s="195"/>
      <c r="J5" s="194"/>
      <c r="L5" t="s">
        <v>555</v>
      </c>
      <c r="M5" s="254">
        <f>120-6</f>
        <v>114</v>
      </c>
    </row>
    <row r="6" spans="1:17" ht="18" x14ac:dyDescent="0.25">
      <c r="A6" s="298"/>
      <c r="B6" s="195"/>
      <c r="C6" s="195"/>
      <c r="D6" s="222"/>
      <c r="E6" s="210" t="s">
        <v>458</v>
      </c>
      <c r="F6" s="195"/>
      <c r="G6" s="195"/>
      <c r="H6" s="195"/>
      <c r="I6" s="195"/>
      <c r="J6" s="194"/>
      <c r="L6" t="s">
        <v>412</v>
      </c>
      <c r="M6" s="180">
        <f>M5/(M5+10)</f>
        <v>0.91935483870967738</v>
      </c>
    </row>
    <row r="7" spans="1:17" x14ac:dyDescent="0.2">
      <c r="A7" s="298"/>
      <c r="B7" s="195"/>
      <c r="C7" s="195"/>
      <c r="D7" s="221" t="s">
        <v>454</v>
      </c>
      <c r="E7" s="342" t="s">
        <v>554</v>
      </c>
      <c r="F7" s="195"/>
      <c r="G7" s="195"/>
      <c r="H7" s="195"/>
      <c r="I7" s="195"/>
      <c r="J7" s="194"/>
      <c r="M7" s="431"/>
    </row>
    <row r="8" spans="1:17" x14ac:dyDescent="0.2">
      <c r="A8" s="298"/>
      <c r="B8" s="195"/>
      <c r="C8" s="195"/>
      <c r="D8" s="218" t="s">
        <v>268</v>
      </c>
      <c r="E8" s="208" t="s">
        <v>553</v>
      </c>
      <c r="F8" s="195"/>
      <c r="G8" s="195"/>
      <c r="H8" s="195"/>
      <c r="I8" s="195"/>
      <c r="J8" s="194"/>
      <c r="L8" s="182" t="s">
        <v>272</v>
      </c>
      <c r="M8" s="430"/>
      <c r="N8" s="178"/>
      <c r="O8" s="178"/>
      <c r="P8" s="182"/>
      <c r="Q8" s="178" t="s">
        <v>345</v>
      </c>
    </row>
    <row r="9" spans="1:17" ht="18" x14ac:dyDescent="0.25">
      <c r="A9" s="298"/>
      <c r="B9" s="195"/>
      <c r="C9" s="195"/>
      <c r="D9" s="222">
        <v>2011</v>
      </c>
      <c r="E9" s="267">
        <v>12000</v>
      </c>
      <c r="F9" s="195"/>
      <c r="G9" s="195"/>
      <c r="H9" s="195"/>
      <c r="I9" s="195"/>
      <c r="J9" s="194"/>
      <c r="L9" s="185" t="s">
        <v>268</v>
      </c>
      <c r="M9" s="186" t="s">
        <v>456</v>
      </c>
      <c r="N9" s="186" t="s">
        <v>486</v>
      </c>
      <c r="O9" s="186" t="s">
        <v>20</v>
      </c>
      <c r="P9" s="185" t="s">
        <v>552</v>
      </c>
      <c r="Q9" s="186" t="s">
        <v>423</v>
      </c>
    </row>
    <row r="10" spans="1:17" x14ac:dyDescent="0.2">
      <c r="A10" s="298"/>
      <c r="B10" s="195"/>
      <c r="C10" s="195"/>
      <c r="D10" s="221">
        <v>2012</v>
      </c>
      <c r="E10" s="264">
        <v>11250</v>
      </c>
      <c r="F10" s="195"/>
      <c r="G10" s="195"/>
      <c r="H10" s="195"/>
      <c r="I10" s="195"/>
      <c r="J10" s="194"/>
      <c r="L10" s="182">
        <f>D9</f>
        <v>2011</v>
      </c>
      <c r="M10" s="329">
        <f>E9</f>
        <v>12000</v>
      </c>
      <c r="N10" s="329">
        <v>42</v>
      </c>
      <c r="O10" s="429">
        <f>N10/(N10+10)</f>
        <v>0.80769230769230771</v>
      </c>
      <c r="P10" s="428">
        <f>$M$6/O10</f>
        <v>1.1382488479262671</v>
      </c>
      <c r="Q10" s="329">
        <f>M10*(P10-1)</f>
        <v>1658.9861751152055</v>
      </c>
    </row>
    <row r="11" spans="1:17" x14ac:dyDescent="0.2">
      <c r="A11" s="298"/>
      <c r="B11" s="195"/>
      <c r="C11" s="195"/>
      <c r="D11" s="221">
        <v>2013</v>
      </c>
      <c r="E11" s="264">
        <v>14750</v>
      </c>
      <c r="F11" s="195"/>
      <c r="G11" s="195"/>
      <c r="H11" s="195"/>
      <c r="I11" s="195"/>
      <c r="J11" s="194"/>
      <c r="L11" s="182">
        <f>D10</f>
        <v>2012</v>
      </c>
      <c r="M11" s="329">
        <f>E10</f>
        <v>11250</v>
      </c>
      <c r="N11" s="329">
        <v>30</v>
      </c>
      <c r="O11" s="429">
        <f>N11/(N11+10)</f>
        <v>0.75</v>
      </c>
      <c r="P11" s="428">
        <f>$M$6/O11</f>
        <v>1.2258064516129032</v>
      </c>
      <c r="Q11" s="329">
        <f>M11*(P11-1)</f>
        <v>2540.3225806451615</v>
      </c>
    </row>
    <row r="12" spans="1:17" x14ac:dyDescent="0.2">
      <c r="A12" s="298"/>
      <c r="B12" s="195"/>
      <c r="C12" s="195"/>
      <c r="D12" s="218">
        <v>2014</v>
      </c>
      <c r="E12" s="261">
        <v>9500</v>
      </c>
      <c r="F12" s="195"/>
      <c r="G12" s="195"/>
      <c r="H12" s="195"/>
      <c r="I12" s="195"/>
      <c r="J12" s="194"/>
      <c r="L12" s="182">
        <f>D11</f>
        <v>2013</v>
      </c>
      <c r="M12" s="329">
        <f>E11</f>
        <v>14750</v>
      </c>
      <c r="N12" s="329">
        <v>18</v>
      </c>
      <c r="O12" s="429">
        <f>N12/(N12+10)</f>
        <v>0.6428571428571429</v>
      </c>
      <c r="P12" s="428">
        <f>$M$6/O12</f>
        <v>1.4301075268817203</v>
      </c>
      <c r="Q12" s="329">
        <f>M12*(P12-1)</f>
        <v>6344.0860215053735</v>
      </c>
    </row>
    <row r="13" spans="1:17" x14ac:dyDescent="0.2">
      <c r="A13" s="298"/>
      <c r="B13" s="214"/>
      <c r="C13" s="195"/>
      <c r="D13" s="328" t="s">
        <v>152</v>
      </c>
      <c r="E13" s="261">
        <f>SUM(E9:E12)</f>
        <v>47500</v>
      </c>
      <c r="F13" s="195"/>
      <c r="G13" s="195"/>
      <c r="H13" s="195"/>
      <c r="I13" s="195"/>
      <c r="J13" s="194"/>
      <c r="L13" s="185">
        <f>D12</f>
        <v>2014</v>
      </c>
      <c r="M13" s="334">
        <f>E12</f>
        <v>9500</v>
      </c>
      <c r="N13" s="334">
        <v>6</v>
      </c>
      <c r="O13" s="427">
        <f>N13/(N13+10)</f>
        <v>0.375</v>
      </c>
      <c r="P13" s="426">
        <f>$M$6/O13</f>
        <v>2.4516129032258065</v>
      </c>
      <c r="Q13" s="334">
        <f>M13*(P13-1)</f>
        <v>13790.322580645161</v>
      </c>
    </row>
    <row r="14" spans="1:17" x14ac:dyDescent="0.2">
      <c r="A14" s="298"/>
      <c r="B14" s="214"/>
      <c r="C14" s="195"/>
      <c r="D14" s="195"/>
      <c r="E14" s="195"/>
      <c r="F14" s="195"/>
      <c r="G14" s="195"/>
      <c r="H14" s="195"/>
      <c r="I14" s="195"/>
      <c r="J14" s="194"/>
      <c r="L14" s="182" t="s">
        <v>152</v>
      </c>
      <c r="M14" s="329">
        <f>E13</f>
        <v>47500</v>
      </c>
      <c r="N14" s="329"/>
      <c r="O14" s="329"/>
      <c r="P14" s="332"/>
      <c r="Q14" s="329">
        <f>SUM(Q10:Q13)</f>
        <v>24333.7173579109</v>
      </c>
    </row>
    <row r="15" spans="1:17" x14ac:dyDescent="0.2">
      <c r="A15" s="298"/>
      <c r="B15" s="214"/>
      <c r="C15" s="195" t="s">
        <v>551</v>
      </c>
      <c r="D15" s="195"/>
      <c r="E15" s="195"/>
      <c r="F15" s="195"/>
      <c r="G15" s="195"/>
      <c r="H15" s="195"/>
      <c r="I15" s="195"/>
      <c r="J15" s="194"/>
    </row>
    <row r="16" spans="1:17" x14ac:dyDescent="0.2">
      <c r="A16" s="298"/>
      <c r="B16" s="214"/>
      <c r="C16" s="195" t="s">
        <v>550</v>
      </c>
      <c r="D16" s="195"/>
      <c r="E16" s="195"/>
      <c r="F16" s="195"/>
      <c r="G16" s="195"/>
      <c r="H16" s="195"/>
      <c r="I16" s="195"/>
      <c r="J16" s="194"/>
      <c r="L16" t="s">
        <v>75</v>
      </c>
      <c r="M16" s="329">
        <f>(F23/1000)*Q14</f>
        <v>608342.93394777249</v>
      </c>
    </row>
    <row r="17" spans="1:18" x14ac:dyDescent="0.2">
      <c r="A17" s="298"/>
      <c r="B17" s="214"/>
      <c r="C17" s="195" t="s">
        <v>549</v>
      </c>
      <c r="D17" s="195"/>
      <c r="E17" s="195"/>
      <c r="F17" s="195"/>
      <c r="G17" s="195"/>
      <c r="H17" s="195"/>
      <c r="I17" s="195"/>
      <c r="J17" s="194"/>
    </row>
    <row r="18" spans="1:18" x14ac:dyDescent="0.2">
      <c r="A18" s="298"/>
      <c r="B18" s="214"/>
      <c r="C18" s="195"/>
      <c r="D18" s="195"/>
      <c r="E18" s="195"/>
      <c r="F18" s="195"/>
      <c r="G18" s="195"/>
      <c r="H18" s="195"/>
      <c r="I18" s="195"/>
      <c r="J18" s="194"/>
      <c r="L18" t="s">
        <v>405</v>
      </c>
      <c r="M18" s="329">
        <f>SQRT(M16+(I24/1000)^2)</f>
        <v>1153.6216597948273</v>
      </c>
    </row>
    <row r="19" spans="1:18" ht="17" thickBot="1" x14ac:dyDescent="0.25">
      <c r="A19" s="298"/>
      <c r="B19" s="214"/>
      <c r="C19" s="195"/>
      <c r="D19" s="195"/>
      <c r="E19" s="195"/>
      <c r="F19" s="195"/>
      <c r="G19" s="195"/>
      <c r="H19" s="195"/>
      <c r="I19" s="195"/>
      <c r="J19" s="194"/>
      <c r="M19" s="409"/>
    </row>
    <row r="20" spans="1:18" ht="17" thickBot="1" x14ac:dyDescent="0.25">
      <c r="A20" s="298"/>
      <c r="B20" s="214"/>
      <c r="C20" s="195"/>
      <c r="D20" s="195"/>
      <c r="E20" s="195"/>
      <c r="F20" s="195"/>
      <c r="G20" s="195"/>
      <c r="H20" s="195"/>
      <c r="I20" s="195"/>
      <c r="J20" s="194"/>
      <c r="L20" s="177" t="s">
        <v>53</v>
      </c>
      <c r="M20" s="425">
        <f>M18/Q14</f>
        <v>4.7408361115848355E-2</v>
      </c>
    </row>
    <row r="21" spans="1:18" x14ac:dyDescent="0.2">
      <c r="A21" s="298"/>
      <c r="B21" s="214"/>
      <c r="C21" s="195"/>
      <c r="D21" s="195"/>
      <c r="E21" s="195"/>
      <c r="F21" s="195"/>
      <c r="G21" s="195"/>
      <c r="H21" s="195"/>
      <c r="I21" s="195"/>
      <c r="J21" s="194"/>
      <c r="M21" s="409"/>
    </row>
    <row r="22" spans="1:18" x14ac:dyDescent="0.2">
      <c r="A22" s="298"/>
      <c r="B22" s="214"/>
      <c r="C22" s="195" t="s">
        <v>548</v>
      </c>
      <c r="D22" s="195"/>
      <c r="E22" s="195"/>
      <c r="F22" s="195"/>
      <c r="G22" s="195"/>
      <c r="H22" s="195"/>
      <c r="I22" s="195"/>
      <c r="J22" s="194"/>
      <c r="M22" s="409"/>
    </row>
    <row r="23" spans="1:18" ht="19" x14ac:dyDescent="0.2">
      <c r="A23" s="298"/>
      <c r="B23" s="195"/>
      <c r="C23" s="195" t="s">
        <v>547</v>
      </c>
      <c r="D23" s="195"/>
      <c r="E23" s="195"/>
      <c r="F23" s="424">
        <v>25000</v>
      </c>
      <c r="G23" s="195"/>
      <c r="H23" s="195"/>
      <c r="I23" s="195"/>
      <c r="J23" s="194"/>
      <c r="L23" s="188" t="s">
        <v>409</v>
      </c>
    </row>
    <row r="24" spans="1:18" x14ac:dyDescent="0.2">
      <c r="A24" s="298"/>
      <c r="B24" s="195"/>
      <c r="C24" s="197" t="s">
        <v>546</v>
      </c>
      <c r="D24" s="195"/>
      <c r="E24" s="195"/>
      <c r="F24" s="195"/>
      <c r="G24" s="195"/>
      <c r="H24" s="195"/>
      <c r="I24" s="423">
        <v>850000</v>
      </c>
      <c r="J24" s="194"/>
      <c r="L24" s="155" t="s">
        <v>545</v>
      </c>
      <c r="M24" s="422"/>
      <c r="N24" s="422"/>
      <c r="O24" s="422"/>
      <c r="P24" s="422"/>
      <c r="Q24" s="422"/>
      <c r="R24" s="422"/>
    </row>
    <row r="25" spans="1:18" x14ac:dyDescent="0.2">
      <c r="A25" s="298"/>
      <c r="B25" s="195"/>
      <c r="C25" s="197"/>
      <c r="D25" s="195"/>
      <c r="E25" s="195"/>
      <c r="F25" s="195"/>
      <c r="G25" s="195"/>
      <c r="H25" s="195"/>
      <c r="I25" s="195"/>
      <c r="J25" s="194"/>
      <c r="L25" s="422"/>
      <c r="M25" s="422"/>
      <c r="N25" s="422"/>
      <c r="O25" s="422"/>
      <c r="P25" s="422"/>
      <c r="Q25" s="422"/>
      <c r="R25" s="422"/>
    </row>
    <row r="26" spans="1:18" x14ac:dyDescent="0.2">
      <c r="A26" s="298" t="s">
        <v>0</v>
      </c>
      <c r="B26" s="195" t="s">
        <v>444</v>
      </c>
      <c r="C26" s="197" t="s">
        <v>544</v>
      </c>
      <c r="D26" s="195"/>
      <c r="E26" s="195"/>
      <c r="F26" s="195"/>
      <c r="G26" s="195"/>
      <c r="H26" s="195"/>
      <c r="I26" s="195"/>
      <c r="J26" s="194"/>
      <c r="M26" s="408"/>
    </row>
    <row r="27" spans="1:18" x14ac:dyDescent="0.2">
      <c r="A27" s="298"/>
      <c r="B27" s="195"/>
      <c r="C27" s="197" t="s">
        <v>543</v>
      </c>
      <c r="D27" s="195"/>
      <c r="E27" s="195"/>
      <c r="F27" s="195"/>
      <c r="G27" s="195"/>
      <c r="H27" s="195"/>
      <c r="I27" s="195"/>
      <c r="J27" s="194"/>
      <c r="M27" s="408"/>
    </row>
    <row r="28" spans="1:18" ht="19" x14ac:dyDescent="0.25">
      <c r="A28" s="298"/>
      <c r="B28" s="195"/>
      <c r="C28" s="197"/>
      <c r="D28" s="195"/>
      <c r="E28" s="195"/>
      <c r="F28" s="195"/>
      <c r="G28" s="195"/>
      <c r="H28" s="195"/>
      <c r="I28" s="195"/>
      <c r="J28" s="194"/>
      <c r="L28" s="174" t="s">
        <v>129</v>
      </c>
      <c r="M28" s="408"/>
    </row>
    <row r="29" spans="1:18" x14ac:dyDescent="0.2">
      <c r="A29" s="298" t="s">
        <v>1</v>
      </c>
      <c r="B29" s="195" t="s">
        <v>442</v>
      </c>
      <c r="C29" s="197" t="s">
        <v>542</v>
      </c>
      <c r="D29" s="195"/>
      <c r="E29" s="195"/>
      <c r="F29" s="195"/>
      <c r="G29" s="195"/>
      <c r="H29" s="195"/>
      <c r="I29" s="195"/>
      <c r="J29" s="194"/>
      <c r="L29" s="155" t="s">
        <v>541</v>
      </c>
      <c r="M29" s="155"/>
      <c r="N29" s="155"/>
      <c r="O29" s="155"/>
      <c r="P29" s="155"/>
      <c r="Q29" s="155"/>
      <c r="R29" s="155"/>
    </row>
    <row r="30" spans="1:18" ht="16" customHeight="1" x14ac:dyDescent="0.2">
      <c r="A30" s="298"/>
      <c r="B30" s="195"/>
      <c r="C30" s="197" t="s">
        <v>540</v>
      </c>
      <c r="D30" s="195"/>
      <c r="E30" s="195"/>
      <c r="F30" s="195"/>
      <c r="G30" s="195"/>
      <c r="H30" s="195"/>
      <c r="I30" s="195"/>
      <c r="J30" s="194"/>
      <c r="L30" s="155"/>
      <c r="M30" s="155"/>
      <c r="N30" s="155"/>
      <c r="O30" s="155"/>
      <c r="P30" s="155"/>
      <c r="Q30" s="155"/>
      <c r="R30" s="155"/>
    </row>
    <row r="31" spans="1:18" x14ac:dyDescent="0.2">
      <c r="A31" s="298"/>
      <c r="B31" s="195"/>
      <c r="C31" s="197" t="s">
        <v>539</v>
      </c>
      <c r="D31" s="195"/>
      <c r="E31" s="195"/>
      <c r="F31" s="195"/>
      <c r="G31" s="195"/>
      <c r="H31" s="195"/>
      <c r="I31" s="195"/>
      <c r="J31" s="194"/>
      <c r="L31" s="155"/>
      <c r="M31" s="155"/>
      <c r="N31" s="155"/>
      <c r="O31" s="155"/>
      <c r="P31" s="155"/>
      <c r="Q31" s="155"/>
      <c r="R31" s="155"/>
    </row>
    <row r="32" spans="1:18" x14ac:dyDescent="0.2">
      <c r="A32" s="298"/>
      <c r="B32" s="195"/>
      <c r="C32" s="197" t="s">
        <v>538</v>
      </c>
      <c r="D32" s="195"/>
      <c r="E32" s="195"/>
      <c r="F32" s="195"/>
      <c r="G32" s="195"/>
      <c r="H32" s="195"/>
      <c r="I32" s="195"/>
      <c r="J32" s="194"/>
      <c r="L32" s="155"/>
      <c r="M32" s="155"/>
      <c r="N32" s="155"/>
      <c r="O32" s="155"/>
      <c r="P32" s="155"/>
      <c r="Q32" s="155"/>
      <c r="R32" s="155"/>
    </row>
    <row r="33" spans="1:18" ht="17" thickBot="1" x14ac:dyDescent="0.25">
      <c r="A33" s="298"/>
      <c r="B33" s="195"/>
      <c r="C33" s="197"/>
      <c r="D33" s="195"/>
      <c r="E33" s="195"/>
      <c r="F33" s="195"/>
      <c r="G33" s="195"/>
      <c r="H33" s="195"/>
      <c r="I33" s="195"/>
      <c r="J33" s="194"/>
      <c r="L33" s="155"/>
      <c r="M33" s="155"/>
      <c r="N33" s="155"/>
      <c r="O33" s="155"/>
      <c r="P33" s="155"/>
      <c r="Q33" s="155"/>
      <c r="R33" s="155"/>
    </row>
    <row r="34" spans="1:18" ht="17" thickBot="1" x14ac:dyDescent="0.25">
      <c r="A34" s="312" t="s">
        <v>176</v>
      </c>
      <c r="B34" s="190"/>
      <c r="C34" s="311"/>
      <c r="D34" s="190"/>
      <c r="E34" s="190"/>
      <c r="F34" s="190"/>
      <c r="G34" s="190"/>
      <c r="H34" s="190"/>
      <c r="I34" s="190"/>
      <c r="J34" s="189"/>
      <c r="L34" s="155"/>
      <c r="M34" s="155"/>
      <c r="N34" s="155"/>
      <c r="O34" s="155"/>
      <c r="P34" s="155"/>
      <c r="Q34" s="155"/>
      <c r="R34" s="155"/>
    </row>
    <row r="35" spans="1:18" x14ac:dyDescent="0.2">
      <c r="L35" s="155"/>
      <c r="M35" s="155"/>
      <c r="N35" s="155"/>
      <c r="O35" s="155"/>
      <c r="P35" s="155"/>
      <c r="Q35" s="155"/>
      <c r="R35" s="155"/>
    </row>
    <row r="36" spans="1:18" x14ac:dyDescent="0.2">
      <c r="L36" s="155"/>
      <c r="M36" s="155"/>
      <c r="N36" s="155"/>
      <c r="O36" s="155"/>
      <c r="P36" s="155"/>
      <c r="Q36" s="155"/>
      <c r="R36" s="155"/>
    </row>
    <row r="37" spans="1:18" x14ac:dyDescent="0.2">
      <c r="L37" s="155"/>
      <c r="M37" s="155"/>
      <c r="N37" s="155"/>
      <c r="O37" s="155"/>
      <c r="P37" s="155"/>
      <c r="Q37" s="155"/>
      <c r="R37" s="155"/>
    </row>
    <row r="38" spans="1:18" x14ac:dyDescent="0.2">
      <c r="L38" s="155"/>
      <c r="M38" s="155"/>
      <c r="N38" s="155"/>
      <c r="O38" s="155"/>
      <c r="P38" s="155"/>
      <c r="Q38" s="155"/>
      <c r="R38" s="155"/>
    </row>
    <row r="39" spans="1:18" x14ac:dyDescent="0.2">
      <c r="L39" s="155"/>
      <c r="M39" s="155"/>
      <c r="N39" s="155"/>
      <c r="O39" s="155"/>
      <c r="P39" s="155"/>
      <c r="Q39" s="155"/>
      <c r="R39" s="155"/>
    </row>
    <row r="40" spans="1:18" x14ac:dyDescent="0.2">
      <c r="L40" s="155"/>
      <c r="M40" s="155"/>
      <c r="N40" s="155"/>
      <c r="O40" s="155"/>
      <c r="P40" s="155"/>
      <c r="Q40" s="155"/>
      <c r="R40" s="155"/>
    </row>
    <row r="41" spans="1:18" x14ac:dyDescent="0.2">
      <c r="L41" s="155"/>
      <c r="M41" s="155"/>
      <c r="N41" s="155"/>
      <c r="O41" s="155"/>
      <c r="P41" s="155"/>
      <c r="Q41" s="155"/>
      <c r="R41" s="155"/>
    </row>
    <row r="43" spans="1:18" ht="19" x14ac:dyDescent="0.25">
      <c r="L43" s="174" t="s">
        <v>220</v>
      </c>
    </row>
    <row r="44" spans="1:18" x14ac:dyDescent="0.2">
      <c r="L44" t="s">
        <v>462</v>
      </c>
    </row>
  </sheetData>
  <mergeCells count="2">
    <mergeCell ref="L24:R25"/>
    <mergeCell ref="L29:R41"/>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0ECC4-144B-6A40-89B0-6A44E665C1CA}">
  <dimension ref="A1:S52"/>
  <sheetViews>
    <sheetView zoomScaleNormal="100" workbookViewId="0"/>
  </sheetViews>
  <sheetFormatPr baseColWidth="10" defaultColWidth="11" defaultRowHeight="16" outlineLevelCol="1" x14ac:dyDescent="0.2"/>
  <cols>
    <col min="1" max="1" width="4" style="252" customWidth="1"/>
    <col min="2" max="2" width="11.5" customWidth="1"/>
    <col min="12" max="12" width="13" hidden="1" customWidth="1" outlineLevel="1"/>
    <col min="13" max="13" width="15.1640625" hidden="1" customWidth="1" outlineLevel="1"/>
    <col min="14" max="14" width="11.83203125" hidden="1" customWidth="1" outlineLevel="1"/>
    <col min="15" max="16" width="10.83203125" hidden="1" customWidth="1" outlineLevel="1"/>
    <col min="17" max="17" width="12" hidden="1" customWidth="1" outlineLevel="1"/>
    <col min="18" max="18" width="10.83203125" hidden="1" customWidth="1" outlineLevel="1"/>
    <col min="19" max="19" width="11" collapsed="1"/>
  </cols>
  <sheetData>
    <row r="1" spans="1:18" x14ac:dyDescent="0.2">
      <c r="A1" s="347"/>
      <c r="B1" s="226" t="s">
        <v>433</v>
      </c>
      <c r="C1" s="225" t="s">
        <v>574</v>
      </c>
      <c r="D1" s="225" t="s">
        <v>431</v>
      </c>
      <c r="E1" s="225" t="s">
        <v>487</v>
      </c>
      <c r="F1" s="224"/>
      <c r="G1" s="224"/>
      <c r="H1" s="224"/>
      <c r="I1" s="224"/>
      <c r="J1" s="223"/>
      <c r="K1" s="188" t="s">
        <v>177</v>
      </c>
    </row>
    <row r="2" spans="1:18" x14ac:dyDescent="0.2">
      <c r="A2" s="298"/>
      <c r="B2" s="346" t="s">
        <v>429</v>
      </c>
      <c r="C2" s="345">
        <v>2.5</v>
      </c>
      <c r="D2" s="195"/>
      <c r="E2" s="195"/>
      <c r="F2" s="195"/>
      <c r="G2" s="195"/>
      <c r="H2" s="195"/>
      <c r="I2" s="195"/>
      <c r="J2" s="194"/>
    </row>
    <row r="3" spans="1:18" x14ac:dyDescent="0.2">
      <c r="A3" s="298"/>
      <c r="B3" s="195"/>
      <c r="C3" s="195"/>
      <c r="D3" s="195"/>
      <c r="E3" s="195"/>
      <c r="F3" s="195"/>
      <c r="G3" s="195"/>
      <c r="H3" s="195"/>
      <c r="I3" s="195"/>
      <c r="J3" s="194"/>
      <c r="L3" s="188" t="s">
        <v>428</v>
      </c>
    </row>
    <row r="4" spans="1:18" x14ac:dyDescent="0.2">
      <c r="A4" s="298"/>
      <c r="B4" s="195"/>
      <c r="C4" s="195" t="s">
        <v>108</v>
      </c>
      <c r="D4" s="195"/>
      <c r="E4" s="195"/>
      <c r="F4" s="195"/>
      <c r="G4" s="195"/>
      <c r="H4" s="195"/>
      <c r="I4" s="195"/>
      <c r="J4" s="194"/>
      <c r="L4" t="s">
        <v>573</v>
      </c>
    </row>
    <row r="5" spans="1:18" x14ac:dyDescent="0.2">
      <c r="A5" s="298"/>
      <c r="B5" s="195"/>
      <c r="C5" s="195"/>
      <c r="D5" s="195"/>
      <c r="E5" s="195"/>
      <c r="F5" s="195"/>
      <c r="G5" s="195"/>
      <c r="H5" s="195"/>
      <c r="I5" s="195"/>
      <c r="J5" s="194"/>
    </row>
    <row r="6" spans="1:18" x14ac:dyDescent="0.2">
      <c r="A6" s="298"/>
      <c r="B6" s="195"/>
      <c r="C6" s="195"/>
      <c r="D6" s="376"/>
      <c r="E6" s="442"/>
      <c r="F6" s="375"/>
      <c r="G6" s="222" t="s">
        <v>455</v>
      </c>
      <c r="H6" s="195"/>
      <c r="I6" s="195"/>
      <c r="J6" s="194"/>
      <c r="L6" s="185" t="s">
        <v>17</v>
      </c>
      <c r="M6" s="334" t="s">
        <v>425</v>
      </c>
      <c r="N6" s="334" t="s">
        <v>251</v>
      </c>
      <c r="O6" s="186" t="s">
        <v>250</v>
      </c>
      <c r="P6" s="186" t="s">
        <v>249</v>
      </c>
      <c r="Q6" s="185" t="s">
        <v>572</v>
      </c>
      <c r="R6" s="186" t="s">
        <v>423</v>
      </c>
    </row>
    <row r="7" spans="1:18" x14ac:dyDescent="0.2">
      <c r="A7" s="298"/>
      <c r="B7" s="195"/>
      <c r="C7" s="195"/>
      <c r="D7" s="343" t="s">
        <v>454</v>
      </c>
      <c r="E7" s="221" t="s">
        <v>571</v>
      </c>
      <c r="F7" s="214" t="s">
        <v>452</v>
      </c>
      <c r="G7" s="221" t="s">
        <v>451</v>
      </c>
      <c r="H7" s="195"/>
      <c r="I7" s="195"/>
      <c r="J7" s="194"/>
      <c r="L7" s="182">
        <v>2013</v>
      </c>
      <c r="M7" s="329">
        <f>E9</f>
        <v>500000</v>
      </c>
      <c r="N7" s="329">
        <f>F9</f>
        <v>210000</v>
      </c>
      <c r="O7" s="178">
        <v>42</v>
      </c>
      <c r="P7" s="340">
        <f>G9</f>
        <v>0.65</v>
      </c>
      <c r="Q7" s="332">
        <f>M7*P7</f>
        <v>325000</v>
      </c>
      <c r="R7" s="329">
        <f>M7*$M$13*(1-P7)</f>
        <v>108783.78378378379</v>
      </c>
    </row>
    <row r="8" spans="1:18" x14ac:dyDescent="0.2">
      <c r="A8" s="298"/>
      <c r="B8" s="195"/>
      <c r="C8" s="195"/>
      <c r="D8" s="343" t="s">
        <v>420</v>
      </c>
      <c r="E8" s="221" t="s">
        <v>450</v>
      </c>
      <c r="F8" s="214" t="s">
        <v>570</v>
      </c>
      <c r="G8" s="221" t="s">
        <v>448</v>
      </c>
      <c r="H8" s="195"/>
      <c r="I8" s="195"/>
      <c r="J8" s="194"/>
      <c r="L8" s="182">
        <v>2014</v>
      </c>
      <c r="M8" s="329">
        <f>E10</f>
        <v>600000</v>
      </c>
      <c r="N8" s="329">
        <f>F10</f>
        <v>150000</v>
      </c>
      <c r="O8" s="178">
        <v>30</v>
      </c>
      <c r="P8" s="340">
        <f>G10</f>
        <v>0.4</v>
      </c>
      <c r="Q8" s="332">
        <f>M8*P8</f>
        <v>240000</v>
      </c>
      <c r="R8" s="329">
        <f>M8*$M$13*(1-P8)</f>
        <v>223783.78378378376</v>
      </c>
    </row>
    <row r="9" spans="1:18" x14ac:dyDescent="0.2">
      <c r="A9" s="298"/>
      <c r="B9" s="195"/>
      <c r="C9" s="195"/>
      <c r="D9" s="344">
        <v>2012</v>
      </c>
      <c r="E9" s="441">
        <v>500000</v>
      </c>
      <c r="F9" s="441">
        <v>210000</v>
      </c>
      <c r="G9" s="440">
        <v>0.65</v>
      </c>
      <c r="H9" s="195"/>
      <c r="I9" s="195"/>
      <c r="J9" s="194"/>
      <c r="L9" s="182">
        <v>2015</v>
      </c>
      <c r="M9" s="329">
        <f>E11</f>
        <v>550000</v>
      </c>
      <c r="N9" s="329">
        <f>F11</f>
        <v>70000</v>
      </c>
      <c r="O9" s="178">
        <v>18</v>
      </c>
      <c r="P9" s="340">
        <f>G11</f>
        <v>0.2</v>
      </c>
      <c r="Q9" s="332">
        <f>M9*P9</f>
        <v>110000</v>
      </c>
      <c r="R9" s="329">
        <f>M9*$M$13*(1-P9)</f>
        <v>273513.51351351355</v>
      </c>
    </row>
    <row r="10" spans="1:18" x14ac:dyDescent="0.2">
      <c r="A10" s="298"/>
      <c r="B10" s="195"/>
      <c r="C10" s="195"/>
      <c r="D10" s="343">
        <v>2013</v>
      </c>
      <c r="E10" s="439">
        <v>600000</v>
      </c>
      <c r="F10" s="439">
        <v>150000</v>
      </c>
      <c r="G10" s="360">
        <v>0.4</v>
      </c>
      <c r="H10" s="195"/>
      <c r="I10" s="195"/>
      <c r="J10" s="194"/>
      <c r="L10" s="185">
        <v>2016</v>
      </c>
      <c r="M10" s="334">
        <f>E12</f>
        <v>650000</v>
      </c>
      <c r="N10" s="334">
        <f>F12</f>
        <v>30000</v>
      </c>
      <c r="O10" s="186">
        <v>6</v>
      </c>
      <c r="P10" s="336">
        <f>G12</f>
        <v>0.1</v>
      </c>
      <c r="Q10" s="335">
        <f>M10*P10</f>
        <v>65000</v>
      </c>
      <c r="R10" s="334">
        <f>M10*$M$13*(1-P10)</f>
        <v>363648.64864864864</v>
      </c>
    </row>
    <row r="11" spans="1:18" x14ac:dyDescent="0.2">
      <c r="A11" s="298"/>
      <c r="B11" s="195"/>
      <c r="C11" s="195"/>
      <c r="D11" s="343">
        <v>2014</v>
      </c>
      <c r="E11" s="439">
        <v>550000</v>
      </c>
      <c r="F11" s="439">
        <v>70000</v>
      </c>
      <c r="G11" s="360">
        <v>0.2</v>
      </c>
      <c r="H11" s="195"/>
      <c r="I11" s="195"/>
      <c r="J11" s="194"/>
      <c r="L11" s="182" t="s">
        <v>152</v>
      </c>
      <c r="M11" s="181"/>
      <c r="N11" s="329">
        <f>SUM(N7:N10)</f>
        <v>460000</v>
      </c>
      <c r="Q11" s="332">
        <f>SUM(Q7:Q10)</f>
        <v>740000</v>
      </c>
      <c r="R11" s="329">
        <f>SUM(R7:R10)</f>
        <v>969729.72972972982</v>
      </c>
    </row>
    <row r="12" spans="1:18" x14ac:dyDescent="0.2">
      <c r="A12" s="298"/>
      <c r="B12" s="195"/>
      <c r="C12" s="195"/>
      <c r="D12" s="341">
        <v>2015</v>
      </c>
      <c r="E12" s="438">
        <v>650000</v>
      </c>
      <c r="F12" s="438">
        <v>30000</v>
      </c>
      <c r="G12" s="358">
        <v>0.1</v>
      </c>
      <c r="H12" s="195"/>
      <c r="I12" s="195"/>
      <c r="J12" s="194"/>
      <c r="M12" s="181"/>
      <c r="N12" s="181"/>
      <c r="R12" s="329"/>
    </row>
    <row r="13" spans="1:18" x14ac:dyDescent="0.2">
      <c r="A13" s="298"/>
      <c r="B13" s="214"/>
      <c r="C13" s="195"/>
      <c r="D13" s="195"/>
      <c r="E13" s="195"/>
      <c r="F13" s="195"/>
      <c r="G13" s="195"/>
      <c r="H13" s="195"/>
      <c r="I13" s="195"/>
      <c r="J13" s="194"/>
      <c r="L13" s="178" t="s">
        <v>253</v>
      </c>
      <c r="M13" s="325">
        <f>N11/Q11</f>
        <v>0.6216216216216216</v>
      </c>
    </row>
    <row r="14" spans="1:18" ht="16" customHeight="1" x14ac:dyDescent="0.2">
      <c r="A14" s="298"/>
      <c r="B14" s="214"/>
      <c r="C14" s="437" t="s">
        <v>154</v>
      </c>
      <c r="D14" s="195"/>
      <c r="E14" s="195"/>
      <c r="F14" s="195"/>
      <c r="G14" s="195"/>
      <c r="H14" s="195"/>
      <c r="I14" s="195"/>
      <c r="J14" s="194"/>
    </row>
    <row r="15" spans="1:18" ht="16" customHeight="1" x14ac:dyDescent="0.2">
      <c r="A15" s="298"/>
      <c r="B15" s="214"/>
      <c r="C15" s="436" t="s">
        <v>568</v>
      </c>
      <c r="D15" s="195"/>
      <c r="E15" s="195"/>
      <c r="F15" s="195"/>
      <c r="G15" s="356">
        <v>250000</v>
      </c>
      <c r="H15" s="195"/>
      <c r="I15" s="195"/>
      <c r="J15" s="194"/>
    </row>
    <row r="16" spans="1:18" ht="16" customHeight="1" x14ac:dyDescent="0.2">
      <c r="A16" s="298"/>
      <c r="B16" s="214"/>
      <c r="C16" s="436" t="s">
        <v>567</v>
      </c>
      <c r="D16" s="195"/>
      <c r="E16" s="195"/>
      <c r="F16" s="195"/>
      <c r="G16" s="356">
        <v>4000</v>
      </c>
      <c r="H16" s="195"/>
      <c r="I16" s="195"/>
      <c r="J16" s="194"/>
      <c r="L16" t="s">
        <v>569</v>
      </c>
    </row>
    <row r="17" spans="1:15" ht="16" customHeight="1" x14ac:dyDescent="0.2">
      <c r="A17" s="298"/>
      <c r="B17" s="214"/>
      <c r="C17" s="195"/>
      <c r="D17" s="195"/>
      <c r="E17" s="195"/>
      <c r="F17" s="195"/>
      <c r="G17" s="195"/>
      <c r="H17" s="195"/>
      <c r="I17" s="195"/>
      <c r="J17" s="194"/>
    </row>
    <row r="18" spans="1:15" ht="16" customHeight="1" x14ac:dyDescent="0.2">
      <c r="A18" s="298"/>
      <c r="B18" s="214"/>
      <c r="C18" s="437" t="s">
        <v>153</v>
      </c>
      <c r="D18" s="195"/>
      <c r="E18" s="195"/>
      <c r="F18" s="195"/>
      <c r="G18" s="195"/>
      <c r="H18" s="195"/>
      <c r="I18" s="195"/>
      <c r="J18" s="194"/>
      <c r="L18" t="s">
        <v>407</v>
      </c>
      <c r="M18" s="181">
        <f>R11*G16</f>
        <v>3878918918.9189191</v>
      </c>
    </row>
    <row r="19" spans="1:15" ht="16" customHeight="1" x14ac:dyDescent="0.2">
      <c r="A19" s="298"/>
      <c r="B19" s="214"/>
      <c r="C19" s="436" t="s">
        <v>568</v>
      </c>
      <c r="D19" s="195"/>
      <c r="E19" s="195"/>
      <c r="F19" s="195"/>
      <c r="G19" s="356">
        <v>325000</v>
      </c>
      <c r="H19" s="195"/>
      <c r="I19" s="195"/>
      <c r="J19" s="194"/>
      <c r="L19" t="s">
        <v>560</v>
      </c>
      <c r="M19" s="181">
        <f>G15^2</f>
        <v>62500000000</v>
      </c>
    </row>
    <row r="20" spans="1:15" ht="16" customHeight="1" thickBot="1" x14ac:dyDescent="0.25">
      <c r="A20" s="298"/>
      <c r="B20" s="214"/>
      <c r="C20" s="436" t="s">
        <v>567</v>
      </c>
      <c r="D20" s="195"/>
      <c r="E20" s="195"/>
      <c r="F20" s="195"/>
      <c r="G20" s="356">
        <v>4500</v>
      </c>
      <c r="H20" s="195"/>
      <c r="I20" s="195"/>
      <c r="J20" s="194"/>
      <c r="M20" s="181"/>
    </row>
    <row r="21" spans="1:15" ht="17" thickBot="1" x14ac:dyDescent="0.25">
      <c r="A21" s="298"/>
      <c r="B21" s="195"/>
      <c r="C21" s="195"/>
      <c r="D21" s="195"/>
      <c r="E21" s="195"/>
      <c r="F21" s="195"/>
      <c r="G21" s="195"/>
      <c r="H21" s="195"/>
      <c r="I21" s="195"/>
      <c r="J21" s="194"/>
      <c r="L21" s="434" t="s">
        <v>313</v>
      </c>
      <c r="M21" s="435">
        <f>SQRT(M18+M19)</f>
        <v>257641.06605686704</v>
      </c>
    </row>
    <row r="22" spans="1:15" x14ac:dyDescent="0.2">
      <c r="A22" s="298" t="s">
        <v>0</v>
      </c>
      <c r="B22" s="195" t="s">
        <v>566</v>
      </c>
      <c r="C22" s="195" t="s">
        <v>564</v>
      </c>
      <c r="D22" s="195"/>
      <c r="E22" s="195"/>
      <c r="F22" s="195"/>
      <c r="G22" s="195"/>
      <c r="H22" s="195"/>
      <c r="I22" s="195"/>
      <c r="J22" s="194"/>
    </row>
    <row r="23" spans="1:15" x14ac:dyDescent="0.2">
      <c r="A23" s="298"/>
      <c r="B23" s="195"/>
      <c r="C23" s="195" t="s">
        <v>565</v>
      </c>
      <c r="D23" s="195"/>
      <c r="E23" s="195"/>
      <c r="F23" s="195"/>
      <c r="G23" s="195"/>
      <c r="H23" s="195"/>
      <c r="I23" s="195"/>
      <c r="J23" s="194"/>
      <c r="L23" s="188" t="s">
        <v>409</v>
      </c>
    </row>
    <row r="24" spans="1:15" x14ac:dyDescent="0.2">
      <c r="A24" s="298"/>
      <c r="B24" s="195"/>
      <c r="C24" s="197"/>
      <c r="D24" s="195"/>
      <c r="E24" s="195"/>
      <c r="F24" s="195"/>
      <c r="G24" s="195"/>
      <c r="H24" s="195"/>
      <c r="I24" s="195"/>
      <c r="J24" s="194"/>
    </row>
    <row r="25" spans="1:15" x14ac:dyDescent="0.2">
      <c r="A25" s="298" t="s">
        <v>1</v>
      </c>
      <c r="B25" s="195" t="s">
        <v>521</v>
      </c>
      <c r="C25" s="197" t="s">
        <v>564</v>
      </c>
      <c r="D25" s="195"/>
      <c r="E25" s="195"/>
      <c r="F25" s="195"/>
      <c r="G25" s="195"/>
      <c r="H25" s="195"/>
      <c r="I25" s="195"/>
      <c r="J25" s="194"/>
      <c r="L25" s="185" t="s">
        <v>17</v>
      </c>
      <c r="M25" s="186" t="s">
        <v>251</v>
      </c>
      <c r="N25" s="186" t="s">
        <v>249</v>
      </c>
      <c r="O25" s="186" t="s">
        <v>563</v>
      </c>
    </row>
    <row r="26" spans="1:15" x14ac:dyDescent="0.2">
      <c r="A26" s="298"/>
      <c r="B26" s="195"/>
      <c r="C26" s="195" t="s">
        <v>562</v>
      </c>
      <c r="D26" s="195"/>
      <c r="E26" s="195"/>
      <c r="F26" s="195"/>
      <c r="G26" s="195"/>
      <c r="H26" s="195"/>
      <c r="I26" s="195"/>
      <c r="J26" s="194"/>
      <c r="L26" s="182">
        <v>2013</v>
      </c>
      <c r="M26" s="329">
        <f>F9</f>
        <v>210000</v>
      </c>
      <c r="N26" s="340">
        <f>P7</f>
        <v>0.65</v>
      </c>
      <c r="O26" s="329">
        <f>M26/N26-M26</f>
        <v>113076.92307692306</v>
      </c>
    </row>
    <row r="27" spans="1:15" x14ac:dyDescent="0.2">
      <c r="A27" s="298"/>
      <c r="B27" s="195"/>
      <c r="C27" s="195"/>
      <c r="D27" s="195"/>
      <c r="E27" s="195"/>
      <c r="F27" s="195"/>
      <c r="G27" s="195"/>
      <c r="H27" s="195"/>
      <c r="I27" s="195"/>
      <c r="J27" s="194"/>
      <c r="L27" s="182">
        <v>2014</v>
      </c>
      <c r="M27" s="329">
        <f>F10</f>
        <v>150000</v>
      </c>
      <c r="N27" s="340">
        <f>P8</f>
        <v>0.4</v>
      </c>
      <c r="O27" s="329">
        <f>M27/N27-M27</f>
        <v>225000</v>
      </c>
    </row>
    <row r="28" spans="1:15" ht="19" x14ac:dyDescent="0.2">
      <c r="A28" s="298" t="s">
        <v>2</v>
      </c>
      <c r="B28" s="195" t="s">
        <v>442</v>
      </c>
      <c r="C28" s="195" t="s">
        <v>561</v>
      </c>
      <c r="D28" s="195"/>
      <c r="E28" s="195"/>
      <c r="F28" s="195"/>
      <c r="G28" s="195"/>
      <c r="H28" s="195"/>
      <c r="I28" s="195"/>
      <c r="J28" s="194"/>
      <c r="L28" s="182">
        <v>2015</v>
      </c>
      <c r="M28" s="329">
        <f>F11</f>
        <v>70000</v>
      </c>
      <c r="N28" s="340">
        <f>P9</f>
        <v>0.2</v>
      </c>
      <c r="O28" s="329">
        <f>M28/N28-M28</f>
        <v>280000</v>
      </c>
    </row>
    <row r="29" spans="1:15" ht="17" thickBot="1" x14ac:dyDescent="0.25">
      <c r="A29" s="298"/>
      <c r="B29" s="195"/>
      <c r="C29" s="195"/>
      <c r="D29" s="195"/>
      <c r="E29" s="195"/>
      <c r="F29" s="195"/>
      <c r="G29" s="195"/>
      <c r="H29" s="195"/>
      <c r="I29" s="195"/>
      <c r="J29" s="194"/>
      <c r="L29" s="185">
        <v>2016</v>
      </c>
      <c r="M29" s="334">
        <f>F12</f>
        <v>30000</v>
      </c>
      <c r="N29" s="336">
        <f>P10</f>
        <v>0.1</v>
      </c>
      <c r="O29" s="334">
        <f>M29/N29-M29</f>
        <v>270000</v>
      </c>
    </row>
    <row r="30" spans="1:15" ht="17" thickBot="1" x14ac:dyDescent="0.25">
      <c r="A30" s="312" t="s">
        <v>176</v>
      </c>
      <c r="B30" s="190"/>
      <c r="C30" s="311"/>
      <c r="D30" s="190"/>
      <c r="E30" s="190"/>
      <c r="F30" s="190"/>
      <c r="G30" s="190"/>
      <c r="H30" s="190"/>
      <c r="I30" s="190"/>
      <c r="J30" s="189"/>
      <c r="L30" s="182" t="s">
        <v>152</v>
      </c>
      <c r="M30" s="178"/>
      <c r="N30" s="178"/>
      <c r="O30" s="329">
        <f>SUM(O26:O29)</f>
        <v>888076.92307692301</v>
      </c>
    </row>
    <row r="33" spans="12:18" x14ac:dyDescent="0.2">
      <c r="L33" t="s">
        <v>407</v>
      </c>
      <c r="M33" s="181">
        <f>O30*G20</f>
        <v>3996346153.8461537</v>
      </c>
    </row>
    <row r="34" spans="12:18" x14ac:dyDescent="0.2">
      <c r="L34" t="s">
        <v>560</v>
      </c>
      <c r="M34" s="181">
        <f>G19^2</f>
        <v>105625000000</v>
      </c>
    </row>
    <row r="35" spans="12:18" ht="17" thickBot="1" x14ac:dyDescent="0.25">
      <c r="M35" s="181"/>
    </row>
    <row r="36" spans="12:18" ht="17" thickBot="1" x14ac:dyDescent="0.25">
      <c r="L36" s="434" t="s">
        <v>313</v>
      </c>
      <c r="M36" s="433">
        <f>SQRT(M33+M34)</f>
        <v>331091.14478319435</v>
      </c>
    </row>
    <row r="39" spans="12:18" x14ac:dyDescent="0.2">
      <c r="L39" s="188" t="s">
        <v>436</v>
      </c>
    </row>
    <row r="43" spans="12:18" ht="19" customHeight="1" x14ac:dyDescent="0.2">
      <c r="L43" s="155" t="s">
        <v>559</v>
      </c>
      <c r="M43" s="155"/>
      <c r="N43" s="155"/>
      <c r="O43" s="155"/>
      <c r="P43" s="155"/>
      <c r="Q43" s="155"/>
      <c r="R43" s="155"/>
    </row>
    <row r="44" spans="12:18" ht="19" customHeight="1" x14ac:dyDescent="0.2">
      <c r="L44" s="155"/>
      <c r="M44" s="155"/>
      <c r="N44" s="155"/>
      <c r="O44" s="155"/>
      <c r="P44" s="155"/>
      <c r="Q44" s="155"/>
      <c r="R44" s="155"/>
    </row>
    <row r="47" spans="12:18" ht="19" x14ac:dyDescent="0.25">
      <c r="L47" s="174" t="s">
        <v>129</v>
      </c>
    </row>
    <row r="48" spans="12:18" x14ac:dyDescent="0.2">
      <c r="L48" s="432" t="s">
        <v>558</v>
      </c>
    </row>
    <row r="49" spans="12:12" x14ac:dyDescent="0.2">
      <c r="L49" s="432"/>
    </row>
    <row r="50" spans="12:12" ht="19" x14ac:dyDescent="0.25">
      <c r="L50" s="174" t="s">
        <v>220</v>
      </c>
    </row>
    <row r="51" spans="12:12" x14ac:dyDescent="0.2">
      <c r="L51" t="s">
        <v>490</v>
      </c>
    </row>
    <row r="52" spans="12:12" x14ac:dyDescent="0.2">
      <c r="L52" t="s">
        <v>462</v>
      </c>
    </row>
  </sheetData>
  <mergeCells count="1">
    <mergeCell ref="L43:R44"/>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409D2-40F1-9C40-AFFF-A3792316CB13}">
  <dimension ref="A1:S31"/>
  <sheetViews>
    <sheetView workbookViewId="0"/>
  </sheetViews>
  <sheetFormatPr baseColWidth="10" defaultColWidth="11" defaultRowHeight="16" outlineLevelCol="1" x14ac:dyDescent="0.2"/>
  <cols>
    <col min="1" max="1" width="4" style="252" customWidth="1"/>
    <col min="2" max="2" width="11.5" customWidth="1"/>
    <col min="12" max="12" width="16.6640625" hidden="1" customWidth="1" outlineLevel="1"/>
    <col min="13" max="18" width="10.83203125" hidden="1" customWidth="1" outlineLevel="1"/>
    <col min="19" max="19" width="11" collapsed="1"/>
  </cols>
  <sheetData>
    <row r="1" spans="1:18" x14ac:dyDescent="0.2">
      <c r="A1" s="347"/>
      <c r="B1" s="226" t="s">
        <v>433</v>
      </c>
      <c r="C1" s="225" t="s">
        <v>574</v>
      </c>
      <c r="D1" s="225" t="s">
        <v>431</v>
      </c>
      <c r="E1" s="225" t="s">
        <v>593</v>
      </c>
      <c r="F1" s="224"/>
      <c r="G1" s="224"/>
      <c r="H1" s="224"/>
      <c r="I1" s="224"/>
      <c r="J1" s="223"/>
      <c r="K1" s="188" t="s">
        <v>177</v>
      </c>
      <c r="L1" s="188"/>
    </row>
    <row r="2" spans="1:18" x14ac:dyDescent="0.2">
      <c r="A2" s="298"/>
      <c r="B2" s="346" t="s">
        <v>429</v>
      </c>
      <c r="C2" s="345">
        <v>1.75</v>
      </c>
      <c r="D2" s="195"/>
      <c r="E2" s="195"/>
      <c r="F2" s="195"/>
      <c r="G2" s="195"/>
      <c r="H2" s="195"/>
      <c r="I2" s="195"/>
      <c r="J2" s="194"/>
    </row>
    <row r="3" spans="1:18" x14ac:dyDescent="0.2">
      <c r="A3" s="298"/>
      <c r="B3" s="195"/>
      <c r="C3" s="195"/>
      <c r="D3" s="195"/>
      <c r="E3" s="195"/>
      <c r="F3" s="195"/>
      <c r="G3" s="195"/>
      <c r="H3" s="195"/>
      <c r="I3" s="195"/>
      <c r="J3" s="194"/>
      <c r="L3" s="188" t="s">
        <v>428</v>
      </c>
      <c r="M3" s="254"/>
    </row>
    <row r="4" spans="1:18" x14ac:dyDescent="0.2">
      <c r="A4" s="298"/>
      <c r="B4" s="195"/>
      <c r="C4" s="195" t="s">
        <v>592</v>
      </c>
      <c r="D4" s="195"/>
      <c r="E4" s="195"/>
      <c r="F4" s="195"/>
      <c r="G4" s="195"/>
      <c r="H4" s="195"/>
      <c r="I4" s="195"/>
      <c r="J4" s="194"/>
    </row>
    <row r="5" spans="1:18" x14ac:dyDescent="0.2">
      <c r="A5" s="298"/>
      <c r="B5" s="195"/>
      <c r="C5" s="195"/>
      <c r="D5" s="195"/>
      <c r="E5" s="195"/>
      <c r="F5" s="195"/>
      <c r="G5" s="195"/>
      <c r="H5" s="195"/>
      <c r="I5" s="195"/>
      <c r="J5" s="194"/>
      <c r="L5" t="s">
        <v>591</v>
      </c>
      <c r="M5">
        <v>30</v>
      </c>
    </row>
    <row r="6" spans="1:18" x14ac:dyDescent="0.2">
      <c r="A6" s="298"/>
      <c r="B6" s="195"/>
      <c r="C6" s="195"/>
      <c r="D6" s="222"/>
      <c r="E6" s="344" t="s">
        <v>270</v>
      </c>
      <c r="F6" s="210" t="s">
        <v>458</v>
      </c>
      <c r="G6" s="195"/>
      <c r="H6" s="195"/>
      <c r="I6" s="195"/>
      <c r="J6" s="194"/>
      <c r="L6" t="s">
        <v>590</v>
      </c>
      <c r="M6" s="180">
        <f>M5^1.1/(M5^1.1+8^1.1)</f>
        <v>0.81060274667686405</v>
      </c>
    </row>
    <row r="7" spans="1:18" ht="17" thickBot="1" x14ac:dyDescent="0.25">
      <c r="A7" s="298"/>
      <c r="B7" s="195"/>
      <c r="C7" s="195"/>
      <c r="D7" s="221" t="s">
        <v>454</v>
      </c>
      <c r="E7" s="343" t="s">
        <v>419</v>
      </c>
      <c r="F7" s="342" t="s">
        <v>251</v>
      </c>
      <c r="G7" s="195"/>
      <c r="H7" s="195"/>
      <c r="I7" s="195"/>
      <c r="J7" s="194"/>
    </row>
    <row r="8" spans="1:18" ht="17" thickBot="1" x14ac:dyDescent="0.25">
      <c r="A8" s="298"/>
      <c r="B8" s="195"/>
      <c r="C8" s="195"/>
      <c r="D8" s="218" t="s">
        <v>589</v>
      </c>
      <c r="E8" s="341" t="s">
        <v>553</v>
      </c>
      <c r="F8" s="208" t="s">
        <v>553</v>
      </c>
      <c r="G8" s="195"/>
      <c r="H8" s="195"/>
      <c r="I8" s="195"/>
      <c r="J8" s="194"/>
      <c r="L8" s="177" t="s">
        <v>588</v>
      </c>
      <c r="M8" s="283">
        <f>E10*G21*(1-M6)</f>
        <v>118.37328332695996</v>
      </c>
      <c r="N8" s="181" t="s">
        <v>587</v>
      </c>
    </row>
    <row r="9" spans="1:18" x14ac:dyDescent="0.2">
      <c r="A9" s="298"/>
      <c r="B9" s="195"/>
      <c r="C9" s="195"/>
      <c r="D9" s="222">
        <v>2012</v>
      </c>
      <c r="E9" s="446">
        <v>800</v>
      </c>
      <c r="F9" s="403">
        <v>480</v>
      </c>
      <c r="G9" s="195"/>
      <c r="H9" s="195"/>
      <c r="I9" s="195"/>
      <c r="J9" s="194"/>
      <c r="M9" s="445"/>
    </row>
    <row r="10" spans="1:18" x14ac:dyDescent="0.2">
      <c r="A10" s="298"/>
      <c r="B10" s="195"/>
      <c r="C10" s="195"/>
      <c r="D10" s="221">
        <v>2013</v>
      </c>
      <c r="E10" s="265">
        <v>1000</v>
      </c>
      <c r="F10" s="268">
        <v>530</v>
      </c>
      <c r="G10" s="195"/>
      <c r="H10" s="195"/>
      <c r="I10" s="195"/>
      <c r="J10" s="194"/>
      <c r="M10" s="445"/>
    </row>
    <row r="11" spans="1:18" x14ac:dyDescent="0.2">
      <c r="A11" s="298"/>
      <c r="B11" s="195"/>
      <c r="C11" s="195"/>
      <c r="D11" s="221">
        <v>2014</v>
      </c>
      <c r="E11" s="265">
        <v>1500</v>
      </c>
      <c r="F11" s="268">
        <v>640</v>
      </c>
      <c r="G11" s="195"/>
      <c r="H11" s="195"/>
      <c r="I11" s="195"/>
      <c r="J11" s="194"/>
      <c r="L11" s="188" t="s">
        <v>409</v>
      </c>
    </row>
    <row r="12" spans="1:18" x14ac:dyDescent="0.2">
      <c r="A12" s="298"/>
      <c r="B12" s="195"/>
      <c r="C12" s="195"/>
      <c r="D12" s="218">
        <v>2015</v>
      </c>
      <c r="E12" s="262">
        <v>1250</v>
      </c>
      <c r="F12" s="330">
        <v>290</v>
      </c>
      <c r="G12" s="195"/>
      <c r="H12" s="195"/>
      <c r="I12" s="195"/>
      <c r="J12" s="194"/>
      <c r="L12" s="382" t="s">
        <v>586</v>
      </c>
      <c r="M12" s="382"/>
      <c r="N12" s="382"/>
      <c r="O12" s="382"/>
      <c r="P12" s="382"/>
      <c r="Q12" s="382"/>
      <c r="R12" s="382"/>
    </row>
    <row r="13" spans="1:18" x14ac:dyDescent="0.2">
      <c r="A13" s="298"/>
      <c r="B13" s="214"/>
      <c r="C13" s="195"/>
      <c r="D13" s="195"/>
      <c r="E13" s="195"/>
      <c r="F13" s="195"/>
      <c r="G13" s="195"/>
      <c r="H13" s="195"/>
      <c r="I13" s="195"/>
      <c r="J13" s="194"/>
      <c r="L13" s="382"/>
      <c r="M13" s="382"/>
      <c r="N13" s="382"/>
      <c r="O13" s="382"/>
      <c r="P13" s="382"/>
      <c r="Q13" s="382"/>
      <c r="R13" s="382"/>
    </row>
    <row r="14" spans="1:18" x14ac:dyDescent="0.2">
      <c r="A14" s="298"/>
      <c r="B14" s="214"/>
      <c r="C14" s="195" t="s">
        <v>585</v>
      </c>
      <c r="D14" s="195"/>
      <c r="E14" s="195"/>
      <c r="F14" s="195"/>
      <c r="G14" s="195"/>
      <c r="H14" s="195"/>
      <c r="I14" s="195"/>
      <c r="J14" s="194"/>
    </row>
    <row r="15" spans="1:18" x14ac:dyDescent="0.2">
      <c r="A15" s="298"/>
      <c r="B15" s="214"/>
      <c r="C15" s="195" t="s">
        <v>584</v>
      </c>
      <c r="D15" s="195"/>
      <c r="E15" s="195"/>
      <c r="F15" s="195"/>
      <c r="G15" s="195"/>
      <c r="H15" s="195"/>
      <c r="I15" s="195"/>
      <c r="J15" s="194"/>
      <c r="O15" s="178" t="s">
        <v>270</v>
      </c>
      <c r="P15" s="178" t="s">
        <v>583</v>
      </c>
    </row>
    <row r="16" spans="1:18" x14ac:dyDescent="0.2">
      <c r="A16" s="298"/>
      <c r="B16" s="214"/>
      <c r="C16" s="195" t="s">
        <v>582</v>
      </c>
      <c r="D16" s="195"/>
      <c r="E16" s="195"/>
      <c r="F16" s="195"/>
      <c r="G16" s="195"/>
      <c r="H16" s="195"/>
      <c r="I16" s="195"/>
      <c r="J16" s="194"/>
      <c r="L16" s="369" t="s">
        <v>17</v>
      </c>
      <c r="M16" s="366" t="s">
        <v>250</v>
      </c>
      <c r="N16" s="366" t="s">
        <v>20</v>
      </c>
      <c r="O16" s="366" t="s">
        <v>43</v>
      </c>
      <c r="P16" s="366" t="s">
        <v>43</v>
      </c>
      <c r="Q16" s="369" t="s">
        <v>251</v>
      </c>
      <c r="R16" s="366" t="s">
        <v>581</v>
      </c>
    </row>
    <row r="17" spans="1:18" x14ac:dyDescent="0.2">
      <c r="A17" s="298"/>
      <c r="B17" s="214"/>
      <c r="C17" s="195"/>
      <c r="D17" s="195"/>
      <c r="E17" s="195"/>
      <c r="F17" s="195"/>
      <c r="G17" s="195"/>
      <c r="H17" s="195"/>
      <c r="I17" s="195"/>
      <c r="J17" s="194"/>
      <c r="L17" s="374">
        <v>2012</v>
      </c>
      <c r="M17" s="355">
        <v>42</v>
      </c>
      <c r="N17" s="384">
        <f>M17^1.1/(M17^1.1+8^1.1)</f>
        <v>0.86105149142593329</v>
      </c>
      <c r="O17" s="373">
        <f>E9</f>
        <v>800</v>
      </c>
      <c r="P17" s="373">
        <f>N17*O17</f>
        <v>688.84119314074667</v>
      </c>
      <c r="Q17" s="444">
        <f>F9</f>
        <v>480</v>
      </c>
      <c r="R17" s="384">
        <f>Q17/P17</f>
        <v>0.69682243858189907</v>
      </c>
    </row>
    <row r="18" spans="1:18" x14ac:dyDescent="0.2">
      <c r="A18" s="298"/>
      <c r="B18" s="214"/>
      <c r="C18" s="195"/>
      <c r="D18" s="195"/>
      <c r="E18" s="195"/>
      <c r="F18" s="195"/>
      <c r="G18" s="195"/>
      <c r="H18" s="195"/>
      <c r="I18" s="195"/>
      <c r="J18" s="194"/>
      <c r="L18" s="374">
        <v>2013</v>
      </c>
      <c r="M18" s="355">
        <v>30</v>
      </c>
      <c r="N18" s="384">
        <f>M18^1.1/(M18^1.1+8^1.1)</f>
        <v>0.81060274667686405</v>
      </c>
      <c r="O18" s="373">
        <f>E10</f>
        <v>1000</v>
      </c>
      <c r="P18" s="373">
        <f>N18*O18</f>
        <v>810.60274667686406</v>
      </c>
      <c r="Q18" s="444">
        <f>F10</f>
        <v>530</v>
      </c>
      <c r="R18" s="384">
        <f>Q18/P18</f>
        <v>0.65383444871459018</v>
      </c>
    </row>
    <row r="19" spans="1:18" x14ac:dyDescent="0.2">
      <c r="A19" s="298"/>
      <c r="B19" s="214"/>
      <c r="C19" s="195"/>
      <c r="D19" s="195"/>
      <c r="E19" s="195"/>
      <c r="F19" s="195"/>
      <c r="G19" s="195"/>
      <c r="H19" s="195"/>
      <c r="I19" s="195"/>
      <c r="J19" s="194"/>
      <c r="L19" s="374">
        <v>2014</v>
      </c>
      <c r="M19" s="355">
        <v>18</v>
      </c>
      <c r="N19" s="384">
        <f>M19^1.1/(M19^1.1+8^1.1)</f>
        <v>0.70930752130339714</v>
      </c>
      <c r="O19" s="373">
        <f>E11</f>
        <v>1500</v>
      </c>
      <c r="P19" s="373">
        <f>N19*O19</f>
        <v>1063.9612819550957</v>
      </c>
      <c r="Q19" s="444">
        <f>F11</f>
        <v>640</v>
      </c>
      <c r="R19" s="384">
        <f>Q19/P19</f>
        <v>0.60152564839949796</v>
      </c>
    </row>
    <row r="20" spans="1:18" x14ac:dyDescent="0.2">
      <c r="A20" s="298"/>
      <c r="B20" s="214"/>
      <c r="C20" s="195"/>
      <c r="D20" s="195"/>
      <c r="E20" s="195"/>
      <c r="F20" s="195"/>
      <c r="G20" s="195"/>
      <c r="H20" s="195"/>
      <c r="I20" s="195"/>
      <c r="J20" s="194"/>
      <c r="L20" s="374">
        <v>2015</v>
      </c>
      <c r="M20" s="355">
        <v>6</v>
      </c>
      <c r="N20" s="384">
        <f>M20^1.1/(M20^1.1+8^1.1)</f>
        <v>0.42154108464263162</v>
      </c>
      <c r="O20" s="373">
        <f>E12</f>
        <v>1250</v>
      </c>
      <c r="P20" s="373">
        <f>N20*O20</f>
        <v>526.92635580328954</v>
      </c>
      <c r="Q20" s="444">
        <f>F12</f>
        <v>290</v>
      </c>
      <c r="R20" s="384">
        <f>Q20/P20</f>
        <v>0.55036153877309923</v>
      </c>
    </row>
    <row r="21" spans="1:18" ht="16" customHeight="1" x14ac:dyDescent="0.2">
      <c r="A21" s="298"/>
      <c r="B21" s="214"/>
      <c r="C21" s="195" t="s">
        <v>580</v>
      </c>
      <c r="D21" s="195"/>
      <c r="E21" s="195"/>
      <c r="F21" s="195"/>
      <c r="G21" s="333">
        <v>0.625</v>
      </c>
      <c r="H21" s="195"/>
      <c r="I21" s="195"/>
      <c r="J21" s="194"/>
      <c r="M21" s="409"/>
    </row>
    <row r="22" spans="1:18" x14ac:dyDescent="0.2">
      <c r="A22" s="298"/>
      <c r="B22" s="214"/>
      <c r="C22" s="195"/>
      <c r="D22" s="195"/>
      <c r="E22" s="195"/>
      <c r="F22" s="195"/>
      <c r="G22" s="195"/>
      <c r="H22" s="195"/>
      <c r="I22" s="195"/>
      <c r="J22" s="194"/>
      <c r="L22" t="s">
        <v>579</v>
      </c>
      <c r="M22" s="443"/>
      <c r="N22" s="443"/>
      <c r="O22" s="443"/>
      <c r="P22" s="443"/>
      <c r="Q22" s="443"/>
      <c r="R22" s="443"/>
    </row>
    <row r="23" spans="1:18" x14ac:dyDescent="0.2">
      <c r="A23" s="298" t="s">
        <v>0</v>
      </c>
      <c r="B23" s="195" t="s">
        <v>521</v>
      </c>
      <c r="C23" s="259" t="s">
        <v>578</v>
      </c>
      <c r="D23" s="195"/>
      <c r="E23" s="195"/>
      <c r="F23" s="195"/>
      <c r="G23" s="195"/>
      <c r="H23" s="195"/>
      <c r="I23" s="195"/>
      <c r="J23" s="194"/>
      <c r="L23" s="443"/>
      <c r="M23" s="443"/>
      <c r="N23" s="443"/>
      <c r="O23" s="443"/>
      <c r="P23" s="443"/>
      <c r="Q23" s="443"/>
      <c r="R23" s="443"/>
    </row>
    <row r="24" spans="1:18" x14ac:dyDescent="0.2">
      <c r="A24" s="298"/>
      <c r="B24" s="195"/>
      <c r="C24" s="197"/>
      <c r="D24" s="195"/>
      <c r="E24" s="195"/>
      <c r="F24" s="195"/>
      <c r="G24" s="195"/>
      <c r="H24" s="195"/>
      <c r="I24" s="195"/>
      <c r="J24" s="194"/>
    </row>
    <row r="25" spans="1:18" ht="19" x14ac:dyDescent="0.25">
      <c r="A25" s="298" t="s">
        <v>1</v>
      </c>
      <c r="B25" s="195" t="s">
        <v>396</v>
      </c>
      <c r="C25" s="197" t="s">
        <v>577</v>
      </c>
      <c r="D25" s="195"/>
      <c r="E25" s="195"/>
      <c r="F25" s="195"/>
      <c r="G25" s="195"/>
      <c r="H25" s="195"/>
      <c r="I25" s="195"/>
      <c r="J25" s="194"/>
      <c r="L25" s="174" t="s">
        <v>129</v>
      </c>
      <c r="M25" s="408"/>
    </row>
    <row r="26" spans="1:18" x14ac:dyDescent="0.2">
      <c r="A26" s="298"/>
      <c r="B26" s="195"/>
      <c r="C26" s="195" t="s">
        <v>576</v>
      </c>
      <c r="D26" s="195"/>
      <c r="E26" s="195"/>
      <c r="F26" s="195"/>
      <c r="G26" s="195"/>
      <c r="H26" s="195"/>
      <c r="I26" s="195"/>
      <c r="J26" s="194"/>
      <c r="L26" s="155" t="s">
        <v>575</v>
      </c>
      <c r="M26" s="155"/>
      <c r="N26" s="155"/>
      <c r="O26" s="155"/>
      <c r="P26" s="155"/>
      <c r="Q26" s="155"/>
      <c r="R26" s="155"/>
    </row>
    <row r="27" spans="1:18" ht="17" thickBot="1" x14ac:dyDescent="0.25">
      <c r="A27" s="295"/>
      <c r="B27" s="314"/>
      <c r="C27" s="315"/>
      <c r="D27" s="314"/>
      <c r="E27" s="314"/>
      <c r="F27" s="314"/>
      <c r="G27" s="314"/>
      <c r="H27" s="314"/>
      <c r="I27" s="314"/>
      <c r="J27" s="313"/>
      <c r="L27" s="155"/>
      <c r="M27" s="155"/>
      <c r="N27" s="155"/>
      <c r="O27" s="155"/>
      <c r="P27" s="155"/>
      <c r="Q27" s="155"/>
      <c r="R27" s="155"/>
    </row>
    <row r="28" spans="1:18" ht="17" thickBot="1" x14ac:dyDescent="0.25">
      <c r="A28" s="312" t="s">
        <v>176</v>
      </c>
      <c r="B28" s="190"/>
      <c r="C28" s="311"/>
      <c r="D28" s="190"/>
      <c r="E28" s="190"/>
      <c r="F28" s="190"/>
      <c r="G28" s="190"/>
      <c r="H28" s="190"/>
      <c r="I28" s="190"/>
      <c r="J28" s="189"/>
    </row>
    <row r="29" spans="1:18" ht="19" x14ac:dyDescent="0.25">
      <c r="L29" s="174" t="s">
        <v>220</v>
      </c>
    </row>
    <row r="30" spans="1:18" x14ac:dyDescent="0.2">
      <c r="L30" t="s">
        <v>490</v>
      </c>
    </row>
    <row r="31" spans="1:18" x14ac:dyDescent="0.2">
      <c r="L31" s="188"/>
      <c r="M31" s="310"/>
    </row>
  </sheetData>
  <mergeCells count="2">
    <mergeCell ref="L12:R13"/>
    <mergeCell ref="L26:R27"/>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F7955-0DF3-E746-8D7A-5C25E21F4A35}">
  <dimension ref="A1:S25"/>
  <sheetViews>
    <sheetView workbookViewId="0"/>
  </sheetViews>
  <sheetFormatPr baseColWidth="10" defaultColWidth="11" defaultRowHeight="16" outlineLevelCol="1" x14ac:dyDescent="0.2"/>
  <cols>
    <col min="1" max="1" width="4" style="252" customWidth="1"/>
    <col min="2" max="2" width="11.5" customWidth="1"/>
    <col min="4" max="4" width="11.6640625" customWidth="1"/>
    <col min="12" max="18" width="10.83203125" hidden="1" customWidth="1" outlineLevel="1"/>
    <col min="19" max="19" width="11" collapsed="1"/>
  </cols>
  <sheetData>
    <row r="1" spans="1:18" x14ac:dyDescent="0.2">
      <c r="A1" s="347"/>
      <c r="B1" s="226" t="s">
        <v>433</v>
      </c>
      <c r="C1" s="225" t="s">
        <v>604</v>
      </c>
      <c r="D1" s="225" t="s">
        <v>431</v>
      </c>
      <c r="E1" s="225" t="s">
        <v>593</v>
      </c>
      <c r="F1" s="224"/>
      <c r="G1" s="224"/>
      <c r="H1" s="224"/>
      <c r="I1" s="224"/>
      <c r="J1" s="223"/>
      <c r="K1" s="188" t="s">
        <v>177</v>
      </c>
      <c r="L1" s="188"/>
    </row>
    <row r="2" spans="1:18" x14ac:dyDescent="0.2">
      <c r="A2" s="298"/>
      <c r="B2" s="346" t="s">
        <v>429</v>
      </c>
      <c r="C2" s="345">
        <v>1.5</v>
      </c>
      <c r="D2" s="195"/>
      <c r="E2" s="195"/>
      <c r="F2" s="195"/>
      <c r="G2" s="195"/>
      <c r="H2" s="195"/>
      <c r="I2" s="195"/>
      <c r="J2" s="194"/>
    </row>
    <row r="3" spans="1:18" x14ac:dyDescent="0.2">
      <c r="A3" s="298"/>
      <c r="B3" s="195"/>
      <c r="C3" s="195"/>
      <c r="D3" s="195"/>
      <c r="E3" s="195"/>
      <c r="F3" s="195"/>
      <c r="G3" s="195"/>
      <c r="H3" s="195"/>
      <c r="I3" s="195"/>
      <c r="J3" s="194"/>
      <c r="L3" s="382" t="s">
        <v>603</v>
      </c>
      <c r="M3" s="382"/>
      <c r="N3" s="382"/>
      <c r="O3" s="382"/>
      <c r="P3" s="382"/>
      <c r="Q3" s="382"/>
      <c r="R3" s="382"/>
    </row>
    <row r="4" spans="1:18" x14ac:dyDescent="0.2">
      <c r="A4" s="298"/>
      <c r="B4" s="195"/>
      <c r="C4" s="195" t="s">
        <v>602</v>
      </c>
      <c r="D4" s="195"/>
      <c r="E4" s="195"/>
      <c r="F4" s="195"/>
      <c r="G4" s="195"/>
      <c r="H4" s="195"/>
      <c r="I4" s="195"/>
      <c r="J4" s="194"/>
      <c r="L4" s="382"/>
      <c r="M4" s="382"/>
      <c r="N4" s="382"/>
      <c r="O4" s="382"/>
      <c r="P4" s="382"/>
      <c r="Q4" s="382"/>
      <c r="R4" s="382"/>
    </row>
    <row r="5" spans="1:18" x14ac:dyDescent="0.2">
      <c r="A5" s="298"/>
      <c r="B5" s="195"/>
      <c r="C5" s="195"/>
      <c r="D5" s="195"/>
      <c r="E5" s="195"/>
      <c r="F5" s="195"/>
      <c r="G5" s="195"/>
      <c r="H5" s="195"/>
      <c r="I5" s="195"/>
      <c r="J5" s="194"/>
      <c r="M5" s="254"/>
    </row>
    <row r="6" spans="1:18" x14ac:dyDescent="0.2">
      <c r="A6" s="298"/>
      <c r="B6" s="195"/>
      <c r="C6" s="195"/>
      <c r="D6" s="460" t="s">
        <v>601</v>
      </c>
      <c r="E6" s="459" t="s">
        <v>600</v>
      </c>
      <c r="F6" s="458" t="s">
        <v>84</v>
      </c>
      <c r="G6" s="195"/>
      <c r="H6" s="195"/>
      <c r="I6" s="195"/>
      <c r="J6" s="194"/>
      <c r="P6" s="285"/>
      <c r="Q6" s="457" t="s">
        <v>343</v>
      </c>
    </row>
    <row r="7" spans="1:18" x14ac:dyDescent="0.2">
      <c r="A7" s="298"/>
      <c r="B7" s="195"/>
      <c r="C7" s="195"/>
      <c r="D7" s="456"/>
      <c r="E7" s="455"/>
      <c r="F7" s="454"/>
      <c r="G7" s="195"/>
      <c r="H7" s="195"/>
      <c r="I7" s="195"/>
      <c r="J7" s="194"/>
      <c r="L7" s="185" t="s">
        <v>17</v>
      </c>
      <c r="M7" s="186" t="s">
        <v>251</v>
      </c>
      <c r="N7" s="186" t="s">
        <v>250</v>
      </c>
      <c r="O7" s="186" t="s">
        <v>249</v>
      </c>
      <c r="P7" s="185" t="s">
        <v>424</v>
      </c>
      <c r="Q7" s="453" t="s">
        <v>581</v>
      </c>
    </row>
    <row r="8" spans="1:18" x14ac:dyDescent="0.2">
      <c r="A8" s="298"/>
      <c r="B8" s="195"/>
      <c r="C8" s="195"/>
      <c r="D8" s="452"/>
      <c r="E8" s="451"/>
      <c r="F8" s="450"/>
      <c r="G8" s="195"/>
      <c r="H8" s="195"/>
      <c r="I8" s="195"/>
      <c r="J8" s="194"/>
      <c r="L8" s="182">
        <v>2012</v>
      </c>
      <c r="M8" s="329">
        <f>F9</f>
        <v>400</v>
      </c>
      <c r="N8" s="178">
        <v>54</v>
      </c>
      <c r="O8" s="449">
        <f>N8^1.8/(N8^1.8+50^1.8)</f>
        <v>0.53457718998394377</v>
      </c>
      <c r="P8" s="448">
        <f>O8*E9</f>
        <v>534.57718998394375</v>
      </c>
      <c r="Q8" s="447">
        <f>M8/P8</f>
        <v>0.74825489656978095</v>
      </c>
    </row>
    <row r="9" spans="1:18" x14ac:dyDescent="0.2">
      <c r="A9" s="298"/>
      <c r="B9" s="195"/>
      <c r="C9" s="195"/>
      <c r="D9" s="221">
        <v>2012</v>
      </c>
      <c r="E9" s="215">
        <v>1000</v>
      </c>
      <c r="F9" s="342">
        <v>400</v>
      </c>
      <c r="G9" s="195"/>
      <c r="H9" s="195"/>
      <c r="I9" s="195"/>
      <c r="J9" s="194"/>
      <c r="L9" s="182">
        <v>2013</v>
      </c>
      <c r="M9" s="329">
        <f>F10</f>
        <v>450</v>
      </c>
      <c r="N9" s="178">
        <v>42</v>
      </c>
      <c r="O9" s="449">
        <f>N9^1.8/(N9^1.8+50^1.8)</f>
        <v>0.42217866837047474</v>
      </c>
      <c r="P9" s="448">
        <f>O9*E10</f>
        <v>548.83226888161721</v>
      </c>
      <c r="Q9" s="447">
        <f>M9/P9</f>
        <v>0.81992263486435912</v>
      </c>
    </row>
    <row r="10" spans="1:18" x14ac:dyDescent="0.2">
      <c r="A10" s="298"/>
      <c r="B10" s="195"/>
      <c r="C10" s="195"/>
      <c r="D10" s="221">
        <v>2013</v>
      </c>
      <c r="E10" s="215">
        <v>1300</v>
      </c>
      <c r="F10" s="342">
        <v>450</v>
      </c>
      <c r="G10" s="195"/>
      <c r="H10" s="195"/>
      <c r="I10" s="195"/>
      <c r="J10" s="194"/>
      <c r="L10" s="182">
        <v>2014</v>
      </c>
      <c r="M10" s="329">
        <f>F11</f>
        <v>400</v>
      </c>
      <c r="N10" s="178">
        <v>30</v>
      </c>
      <c r="O10" s="449">
        <f>N10^1.8/(N10^1.8+50^1.8)</f>
        <v>0.28506261189441229</v>
      </c>
      <c r="P10" s="448">
        <f>O10*E11</f>
        <v>456.10017903105967</v>
      </c>
      <c r="Q10" s="447">
        <f>M10/P10</f>
        <v>0.87700031350516239</v>
      </c>
    </row>
    <row r="11" spans="1:18" x14ac:dyDescent="0.2">
      <c r="A11" s="298"/>
      <c r="B11" s="195"/>
      <c r="C11" s="195"/>
      <c r="D11" s="221">
        <v>2014</v>
      </c>
      <c r="E11" s="215">
        <v>1600</v>
      </c>
      <c r="F11" s="342">
        <v>400</v>
      </c>
      <c r="G11" s="195"/>
      <c r="H11" s="195"/>
      <c r="I11" s="195"/>
      <c r="J11" s="194"/>
      <c r="L11" s="182">
        <v>2015</v>
      </c>
      <c r="M11" s="329">
        <f>F12</f>
        <v>250</v>
      </c>
      <c r="N11" s="178">
        <v>18</v>
      </c>
      <c r="O11" s="449">
        <f>N11^1.8/(N11^1.8+50^1.8)</f>
        <v>0.13717288862749721</v>
      </c>
      <c r="P11" s="448">
        <f>O11*E12</f>
        <v>260.62848839224472</v>
      </c>
      <c r="Q11" s="447">
        <f>M11/P11</f>
        <v>0.95921977502225741</v>
      </c>
    </row>
    <row r="12" spans="1:18" x14ac:dyDescent="0.2">
      <c r="A12" s="298"/>
      <c r="B12" s="195"/>
      <c r="C12" s="195"/>
      <c r="D12" s="221">
        <v>2015</v>
      </c>
      <c r="E12" s="215">
        <v>1900</v>
      </c>
      <c r="F12" s="342">
        <v>250</v>
      </c>
      <c r="G12" s="195"/>
      <c r="H12" s="195"/>
      <c r="I12" s="195"/>
      <c r="J12" s="194"/>
      <c r="L12" s="182">
        <v>2016</v>
      </c>
      <c r="M12" s="329">
        <f>F13</f>
        <v>50</v>
      </c>
      <c r="N12" s="178">
        <v>6</v>
      </c>
      <c r="O12" s="449">
        <f>N12^1.8/(N12^1.8+50^1.8)</f>
        <v>2.1531442060205602E-2</v>
      </c>
      <c r="P12" s="448">
        <f>O12*E13</f>
        <v>47.369172532452325</v>
      </c>
      <c r="Q12" s="447">
        <f>M12/P12</f>
        <v>1.0555388098820031</v>
      </c>
    </row>
    <row r="13" spans="1:18" x14ac:dyDescent="0.2">
      <c r="A13" s="298"/>
      <c r="B13" s="214"/>
      <c r="C13" s="195"/>
      <c r="D13" s="218">
        <v>2016</v>
      </c>
      <c r="E13" s="278">
        <v>2200</v>
      </c>
      <c r="F13" s="208">
        <v>50</v>
      </c>
      <c r="G13" s="195"/>
      <c r="H13" s="195"/>
      <c r="I13" s="195"/>
      <c r="J13" s="194"/>
      <c r="L13" s="188"/>
    </row>
    <row r="14" spans="1:18" x14ac:dyDescent="0.2">
      <c r="A14" s="298"/>
      <c r="B14" s="214"/>
      <c r="C14" s="195"/>
      <c r="D14" s="195"/>
      <c r="E14" s="195"/>
      <c r="F14" s="195"/>
      <c r="G14" s="195"/>
      <c r="H14" s="195"/>
      <c r="I14" s="195"/>
      <c r="J14" s="194"/>
      <c r="L14" s="382" t="s">
        <v>599</v>
      </c>
      <c r="M14" s="382"/>
      <c r="N14" s="382"/>
      <c r="O14" s="382"/>
      <c r="P14" s="382"/>
      <c r="Q14" s="382"/>
      <c r="R14" s="382"/>
    </row>
    <row r="15" spans="1:18" x14ac:dyDescent="0.2">
      <c r="A15" s="298"/>
      <c r="B15" s="214"/>
      <c r="C15" s="195" t="s">
        <v>598</v>
      </c>
      <c r="D15" s="195"/>
      <c r="E15" s="195" t="s">
        <v>597</v>
      </c>
      <c r="F15" s="195"/>
      <c r="G15" s="195"/>
      <c r="H15" s="195"/>
      <c r="I15" s="195"/>
      <c r="J15" s="194"/>
      <c r="L15" s="382"/>
      <c r="M15" s="382"/>
      <c r="N15" s="382"/>
      <c r="O15" s="382"/>
      <c r="P15" s="382"/>
      <c r="Q15" s="382"/>
      <c r="R15" s="382"/>
    </row>
    <row r="16" spans="1:18" x14ac:dyDescent="0.2">
      <c r="A16" s="298"/>
      <c r="B16" s="214"/>
      <c r="C16" s="195"/>
      <c r="D16" s="195"/>
      <c r="E16" s="195"/>
      <c r="F16" s="195"/>
      <c r="G16" s="195"/>
      <c r="H16" s="195"/>
      <c r="I16" s="195"/>
      <c r="J16" s="194"/>
    </row>
    <row r="17" spans="1:18" x14ac:dyDescent="0.2">
      <c r="A17" s="298"/>
      <c r="B17" s="214"/>
      <c r="C17" s="195" t="s">
        <v>596</v>
      </c>
      <c r="D17" s="195"/>
      <c r="E17" s="195"/>
      <c r="F17" s="195"/>
      <c r="G17" s="195"/>
      <c r="H17" s="195"/>
      <c r="I17" s="195"/>
      <c r="J17" s="194"/>
    </row>
    <row r="18" spans="1:18" ht="19" x14ac:dyDescent="0.25">
      <c r="A18" s="298"/>
      <c r="B18" s="214"/>
      <c r="C18" s="195"/>
      <c r="D18" s="195"/>
      <c r="E18" s="195"/>
      <c r="F18" s="195"/>
      <c r="G18" s="195"/>
      <c r="H18" s="195"/>
      <c r="I18" s="195"/>
      <c r="J18" s="194"/>
      <c r="L18" s="174" t="s">
        <v>129</v>
      </c>
    </row>
    <row r="19" spans="1:18" x14ac:dyDescent="0.2">
      <c r="A19" s="298"/>
      <c r="B19" s="214"/>
      <c r="C19" s="195"/>
      <c r="D19" s="195"/>
      <c r="E19" s="195"/>
      <c r="F19" s="195"/>
      <c r="G19" s="195"/>
      <c r="H19" s="195"/>
      <c r="I19" s="195"/>
      <c r="J19" s="194"/>
      <c r="L19" s="382" t="s">
        <v>595</v>
      </c>
      <c r="M19" s="382"/>
      <c r="N19" s="382"/>
      <c r="O19" s="382"/>
      <c r="P19" s="382"/>
      <c r="Q19" s="382"/>
      <c r="R19" s="382"/>
    </row>
    <row r="20" spans="1:18" ht="16" customHeight="1" x14ac:dyDescent="0.2">
      <c r="A20" s="298"/>
      <c r="B20" s="214"/>
      <c r="C20" s="195" t="s">
        <v>594</v>
      </c>
      <c r="D20" s="195"/>
      <c r="E20" s="195"/>
      <c r="F20" s="195"/>
      <c r="G20" s="195"/>
      <c r="H20" s="195"/>
      <c r="I20" s="195"/>
      <c r="J20" s="194"/>
      <c r="L20" s="382"/>
      <c r="M20" s="382"/>
      <c r="N20" s="382"/>
      <c r="O20" s="382"/>
      <c r="P20" s="382"/>
      <c r="Q20" s="382"/>
      <c r="R20" s="382"/>
    </row>
    <row r="21" spans="1:18" ht="17" thickBot="1" x14ac:dyDescent="0.25">
      <c r="A21" s="298"/>
      <c r="B21" s="214"/>
      <c r="C21" s="195"/>
      <c r="D21" s="195"/>
      <c r="E21" s="195"/>
      <c r="F21" s="195"/>
      <c r="G21" s="195"/>
      <c r="H21" s="195"/>
      <c r="I21" s="195"/>
      <c r="J21" s="194"/>
      <c r="L21" s="382"/>
      <c r="M21" s="382"/>
      <c r="N21" s="382"/>
      <c r="O21" s="382"/>
      <c r="P21" s="382"/>
      <c r="Q21" s="382"/>
      <c r="R21" s="382"/>
    </row>
    <row r="22" spans="1:18" ht="17" thickBot="1" x14ac:dyDescent="0.25">
      <c r="A22" s="312" t="s">
        <v>176</v>
      </c>
      <c r="B22" s="190"/>
      <c r="C22" s="311"/>
      <c r="D22" s="190"/>
      <c r="E22" s="190"/>
      <c r="F22" s="190"/>
      <c r="G22" s="190"/>
      <c r="H22" s="190"/>
      <c r="I22" s="190"/>
      <c r="J22" s="189"/>
      <c r="L22" s="382"/>
      <c r="M22" s="382"/>
      <c r="N22" s="382"/>
      <c r="O22" s="382"/>
      <c r="P22" s="382"/>
      <c r="Q22" s="382"/>
      <c r="R22" s="382"/>
    </row>
    <row r="24" spans="1:18" ht="19" x14ac:dyDescent="0.25">
      <c r="L24" s="174" t="s">
        <v>220</v>
      </c>
    </row>
    <row r="25" spans="1:18" x14ac:dyDescent="0.2">
      <c r="L25" t="s">
        <v>222</v>
      </c>
    </row>
  </sheetData>
  <mergeCells count="6">
    <mergeCell ref="L19:R22"/>
    <mergeCell ref="L3:R4"/>
    <mergeCell ref="L14:R15"/>
    <mergeCell ref="D6:D8"/>
    <mergeCell ref="E6:E8"/>
    <mergeCell ref="F6:F8"/>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8B38A-E60D-CB49-B720-D5A6CAADD242}">
  <dimension ref="A1:S43"/>
  <sheetViews>
    <sheetView workbookViewId="0"/>
  </sheetViews>
  <sheetFormatPr baseColWidth="10" defaultColWidth="11" defaultRowHeight="16" outlineLevelCol="1" x14ac:dyDescent="0.2"/>
  <cols>
    <col min="1" max="1" width="4" style="252" customWidth="1"/>
    <col min="2" max="2" width="11.5" customWidth="1"/>
    <col min="3" max="4" width="11.1640625" customWidth="1"/>
    <col min="5" max="5" width="11.33203125" customWidth="1"/>
    <col min="6" max="6" width="11.1640625" customWidth="1"/>
    <col min="7" max="7" width="11.6640625" customWidth="1"/>
    <col min="12" max="12" width="12.83203125" hidden="1" customWidth="1" outlineLevel="1"/>
    <col min="13" max="13" width="13.6640625" hidden="1" customWidth="1" outlineLevel="1"/>
    <col min="14" max="14" width="10.83203125" hidden="1" customWidth="1" outlineLevel="1"/>
    <col min="15" max="17" width="11.6640625" hidden="1" customWidth="1" outlineLevel="1"/>
    <col min="18" max="18" width="10.83203125" hidden="1" customWidth="1" outlineLevel="1"/>
    <col min="19" max="19" width="11" collapsed="1"/>
  </cols>
  <sheetData>
    <row r="1" spans="1:18" x14ac:dyDescent="0.2">
      <c r="A1" s="347"/>
      <c r="B1" s="226" t="s">
        <v>433</v>
      </c>
      <c r="C1" s="225" t="s">
        <v>604</v>
      </c>
      <c r="D1" s="225" t="s">
        <v>431</v>
      </c>
      <c r="E1" s="225" t="s">
        <v>632</v>
      </c>
      <c r="F1" s="224"/>
      <c r="G1" s="224"/>
      <c r="H1" s="224"/>
      <c r="I1" s="224"/>
      <c r="J1" s="223"/>
      <c r="K1" s="188" t="s">
        <v>177</v>
      </c>
      <c r="L1" s="188"/>
    </row>
    <row r="2" spans="1:18" x14ac:dyDescent="0.2">
      <c r="A2" s="298"/>
      <c r="B2" s="346" t="s">
        <v>429</v>
      </c>
      <c r="C2" s="345">
        <v>3</v>
      </c>
      <c r="D2" s="195"/>
      <c r="E2" s="195"/>
      <c r="F2" s="195"/>
      <c r="G2" s="195"/>
      <c r="H2" s="195"/>
      <c r="I2" s="195"/>
      <c r="J2" s="194"/>
    </row>
    <row r="3" spans="1:18" x14ac:dyDescent="0.2">
      <c r="A3" s="298"/>
      <c r="B3" s="195"/>
      <c r="C3" s="195"/>
      <c r="D3" s="195"/>
      <c r="E3" s="195"/>
      <c r="F3" s="195"/>
      <c r="G3" s="195"/>
      <c r="H3" s="195"/>
      <c r="I3" s="195"/>
      <c r="J3" s="194"/>
      <c r="L3" s="188" t="s">
        <v>428</v>
      </c>
      <c r="M3" s="254"/>
    </row>
    <row r="4" spans="1:18" x14ac:dyDescent="0.2">
      <c r="A4" s="298"/>
      <c r="B4" s="195"/>
      <c r="C4" s="195" t="s">
        <v>83</v>
      </c>
      <c r="D4" s="195"/>
      <c r="E4" s="195"/>
      <c r="F4" s="195"/>
      <c r="G4" s="195"/>
      <c r="H4" s="195"/>
      <c r="I4" s="195"/>
      <c r="J4" s="194"/>
      <c r="L4" t="s">
        <v>631</v>
      </c>
      <c r="M4" s="254"/>
    </row>
    <row r="5" spans="1:18" x14ac:dyDescent="0.2">
      <c r="A5" s="298"/>
      <c r="B5" s="195"/>
      <c r="C5" s="195"/>
      <c r="D5" s="195"/>
      <c r="E5" s="195"/>
      <c r="F5" s="195"/>
      <c r="G5" s="195"/>
      <c r="H5" s="195"/>
      <c r="I5" s="195"/>
      <c r="J5" s="194"/>
    </row>
    <row r="6" spans="1:18" x14ac:dyDescent="0.2">
      <c r="A6" s="298"/>
      <c r="B6" s="195"/>
      <c r="C6" s="195"/>
      <c r="D6" s="222" t="s">
        <v>272</v>
      </c>
      <c r="E6" s="344" t="s">
        <v>630</v>
      </c>
      <c r="F6" s="210" t="s">
        <v>452</v>
      </c>
      <c r="G6" s="195"/>
      <c r="H6" s="195"/>
      <c r="I6" s="195"/>
      <c r="J6" s="194"/>
      <c r="L6" s="185" t="s">
        <v>17</v>
      </c>
      <c r="M6" s="334" t="s">
        <v>629</v>
      </c>
      <c r="N6" s="334" t="s">
        <v>251</v>
      </c>
      <c r="O6" s="186" t="s">
        <v>250</v>
      </c>
      <c r="P6" s="186" t="s">
        <v>249</v>
      </c>
      <c r="Q6" s="185" t="s">
        <v>424</v>
      </c>
      <c r="R6" s="186" t="s">
        <v>423</v>
      </c>
    </row>
    <row r="7" spans="1:18" x14ac:dyDescent="0.2">
      <c r="A7" s="298"/>
      <c r="B7" s="195"/>
      <c r="C7" s="195"/>
      <c r="D7" s="218" t="s">
        <v>268</v>
      </c>
      <c r="E7" s="341" t="s">
        <v>43</v>
      </c>
      <c r="F7" s="208" t="s">
        <v>449</v>
      </c>
      <c r="G7" s="195"/>
      <c r="H7" s="195"/>
      <c r="I7" s="195"/>
      <c r="J7" s="194"/>
      <c r="L7" s="182">
        <v>2014</v>
      </c>
      <c r="M7" s="329">
        <f>E8</f>
        <v>400000</v>
      </c>
      <c r="N7" s="329">
        <f>F8</f>
        <v>210000</v>
      </c>
      <c r="O7" s="178">
        <v>30</v>
      </c>
      <c r="P7" s="325">
        <f>O7^1.5/(O7^1.5+15^1.5)</f>
        <v>0.73879612503625858</v>
      </c>
      <c r="Q7" s="332">
        <f>M7*P7</f>
        <v>295518.45001450344</v>
      </c>
      <c r="R7" s="329">
        <f>$M$12*M7*(1-P7)</f>
        <v>67986.020189678209</v>
      </c>
    </row>
    <row r="8" spans="1:18" x14ac:dyDescent="0.2">
      <c r="A8" s="298"/>
      <c r="B8" s="195"/>
      <c r="C8" s="195"/>
      <c r="D8" s="222">
        <v>2014</v>
      </c>
      <c r="E8" s="446">
        <v>400000</v>
      </c>
      <c r="F8" s="403">
        <v>210000</v>
      </c>
      <c r="G8" s="195"/>
      <c r="H8" s="195"/>
      <c r="I8" s="195"/>
      <c r="J8" s="194"/>
      <c r="L8" s="182">
        <v>2015</v>
      </c>
      <c r="M8" s="329">
        <f>E9</f>
        <v>375000</v>
      </c>
      <c r="N8" s="329">
        <f>F9</f>
        <v>130000</v>
      </c>
      <c r="O8" s="178">
        <v>18</v>
      </c>
      <c r="P8" s="325">
        <f>O8^1.5/(O8^1.5+15^1.5)</f>
        <v>0.56794761262033144</v>
      </c>
      <c r="Q8" s="332">
        <f>M8*P8</f>
        <v>212980.35473262428</v>
      </c>
      <c r="R8" s="329">
        <f>$M$12*M8*(1-P8)</f>
        <v>105425.99029016458</v>
      </c>
    </row>
    <row r="9" spans="1:18" x14ac:dyDescent="0.2">
      <c r="A9" s="298"/>
      <c r="B9" s="195"/>
      <c r="C9" s="195"/>
      <c r="D9" s="221">
        <v>2015</v>
      </c>
      <c r="E9" s="265">
        <v>375000</v>
      </c>
      <c r="F9" s="268">
        <v>130000</v>
      </c>
      <c r="G9" s="195"/>
      <c r="H9" s="195"/>
      <c r="I9" s="195"/>
      <c r="J9" s="194"/>
      <c r="L9" s="182">
        <v>2016</v>
      </c>
      <c r="M9" s="464">
        <f>E10</f>
        <v>450000</v>
      </c>
      <c r="N9" s="334">
        <f>F10</f>
        <v>50000</v>
      </c>
      <c r="O9" s="186">
        <v>6</v>
      </c>
      <c r="P9" s="463">
        <f>O9^1.5/(O9^1.5+15^1.5)</f>
        <v>0.20190407351866496</v>
      </c>
      <c r="Q9" s="335">
        <f>M9*P9</f>
        <v>90856.833083399237</v>
      </c>
      <c r="R9" s="334">
        <f>$M$12*M9*(1-P9)</f>
        <v>233694.03115063236</v>
      </c>
    </row>
    <row r="10" spans="1:18" x14ac:dyDescent="0.2">
      <c r="A10" s="298"/>
      <c r="B10" s="195"/>
      <c r="C10" s="195"/>
      <c r="D10" s="218">
        <v>2016</v>
      </c>
      <c r="E10" s="262">
        <v>450000</v>
      </c>
      <c r="F10" s="330">
        <v>50000</v>
      </c>
      <c r="G10" s="195"/>
      <c r="H10" s="195"/>
      <c r="I10" s="195"/>
      <c r="J10" s="194"/>
      <c r="L10" s="462" t="s">
        <v>152</v>
      </c>
      <c r="M10" s="329">
        <f>SUM(M7:M9)</f>
        <v>1225000</v>
      </c>
      <c r="N10" s="329">
        <f>SUM(N7:N9)</f>
        <v>390000</v>
      </c>
      <c r="Q10" s="461">
        <f>SUM(Q7:Q9)</f>
        <v>599355.63783052692</v>
      </c>
      <c r="R10" s="329">
        <f>SUM(R7:R9)</f>
        <v>407106.04163047514</v>
      </c>
    </row>
    <row r="11" spans="1:18" x14ac:dyDescent="0.2">
      <c r="A11" s="298"/>
      <c r="B11" s="195"/>
      <c r="C11" s="195"/>
      <c r="D11" s="195"/>
      <c r="E11" s="195"/>
      <c r="F11" s="195"/>
      <c r="G11" s="195"/>
      <c r="H11" s="195"/>
      <c r="I11" s="195"/>
      <c r="J11" s="194"/>
    </row>
    <row r="12" spans="1:18" x14ac:dyDescent="0.2">
      <c r="A12" s="298"/>
      <c r="B12" s="195"/>
      <c r="C12" s="195" t="s">
        <v>305</v>
      </c>
      <c r="D12" s="195" t="s">
        <v>628</v>
      </c>
      <c r="E12" s="195" t="s">
        <v>627</v>
      </c>
      <c r="F12" s="195"/>
      <c r="G12" s="195"/>
      <c r="H12" s="195"/>
      <c r="I12" s="195"/>
      <c r="J12" s="194"/>
      <c r="L12" s="178" t="s">
        <v>47</v>
      </c>
      <c r="M12" s="325">
        <f>N10/Q10</f>
        <v>0.65069880949426551</v>
      </c>
    </row>
    <row r="13" spans="1:18" x14ac:dyDescent="0.2">
      <c r="A13" s="298"/>
      <c r="B13" s="214"/>
      <c r="C13" s="195"/>
      <c r="D13" s="195" t="s">
        <v>626</v>
      </c>
      <c r="E13" s="195" t="s">
        <v>625</v>
      </c>
      <c r="F13" s="195"/>
      <c r="G13" s="195"/>
      <c r="H13" s="195"/>
      <c r="I13" s="195"/>
      <c r="J13" s="194"/>
    </row>
    <row r="14" spans="1:18" x14ac:dyDescent="0.2">
      <c r="A14" s="298"/>
      <c r="B14" s="214"/>
      <c r="C14" s="195"/>
      <c r="D14" s="195"/>
      <c r="E14" s="195"/>
      <c r="F14" s="195"/>
      <c r="G14" s="195"/>
      <c r="H14" s="195"/>
      <c r="I14" s="195"/>
      <c r="J14" s="194"/>
      <c r="L14" t="s">
        <v>624</v>
      </c>
      <c r="M14" s="409"/>
    </row>
    <row r="15" spans="1:18" x14ac:dyDescent="0.2">
      <c r="A15" s="298"/>
      <c r="B15" s="214"/>
      <c r="C15" s="195" t="s">
        <v>623</v>
      </c>
      <c r="D15" s="195"/>
      <c r="E15" s="195"/>
      <c r="F15" s="195"/>
      <c r="G15" s="195"/>
      <c r="H15" s="215">
        <v>175000</v>
      </c>
      <c r="I15" s="195"/>
      <c r="J15" s="194"/>
    </row>
    <row r="16" spans="1:18" ht="19" x14ac:dyDescent="0.2">
      <c r="A16" s="298"/>
      <c r="B16" s="214"/>
      <c r="C16" s="195" t="s">
        <v>622</v>
      </c>
      <c r="D16" s="195"/>
      <c r="E16" s="195"/>
      <c r="F16" s="195"/>
      <c r="G16" s="195"/>
      <c r="H16" s="215">
        <v>3000</v>
      </c>
      <c r="I16" s="195"/>
      <c r="J16" s="194"/>
      <c r="L16" t="s">
        <v>407</v>
      </c>
      <c r="M16" s="181">
        <f>R10*H16</f>
        <v>1221318124.8914254</v>
      </c>
    </row>
    <row r="17" spans="1:17" x14ac:dyDescent="0.2">
      <c r="A17" s="298"/>
      <c r="B17" s="214"/>
      <c r="C17" s="195"/>
      <c r="D17" s="195"/>
      <c r="E17" s="195"/>
      <c r="F17" s="195"/>
      <c r="G17" s="195"/>
      <c r="H17" s="195"/>
      <c r="I17" s="195"/>
      <c r="J17" s="194"/>
      <c r="L17" t="s">
        <v>560</v>
      </c>
      <c r="M17" s="181">
        <f>H15^2</f>
        <v>30625000000</v>
      </c>
    </row>
    <row r="18" spans="1:17" ht="17" thickBot="1" x14ac:dyDescent="0.25">
      <c r="A18" s="298" t="s">
        <v>0</v>
      </c>
      <c r="B18" s="259" t="s">
        <v>621</v>
      </c>
      <c r="C18" s="195" t="s">
        <v>620</v>
      </c>
      <c r="D18" s="195"/>
      <c r="E18" s="195"/>
      <c r="F18" s="195"/>
      <c r="G18" s="195"/>
      <c r="H18" s="195"/>
      <c r="I18" s="195"/>
      <c r="J18" s="194"/>
      <c r="M18" s="181"/>
    </row>
    <row r="19" spans="1:17" ht="17" thickBot="1" x14ac:dyDescent="0.25">
      <c r="A19" s="298"/>
      <c r="B19" s="214"/>
      <c r="C19" s="195" t="s">
        <v>619</v>
      </c>
      <c r="D19" s="195"/>
      <c r="E19" s="195"/>
      <c r="F19" s="195"/>
      <c r="G19" s="195"/>
      <c r="H19" s="195"/>
      <c r="I19" s="195"/>
      <c r="J19" s="194"/>
      <c r="L19" s="177" t="s">
        <v>618</v>
      </c>
      <c r="M19" s="435">
        <f>SQRT(M16+H15^2)</f>
        <v>178455.36731881008</v>
      </c>
    </row>
    <row r="20" spans="1:17" x14ac:dyDescent="0.2">
      <c r="A20" s="298"/>
      <c r="B20" s="214"/>
      <c r="C20" s="195"/>
      <c r="D20" s="195"/>
      <c r="E20" s="195"/>
      <c r="F20" s="195"/>
      <c r="G20" s="195"/>
      <c r="H20" s="195"/>
      <c r="I20" s="195"/>
      <c r="J20" s="194"/>
      <c r="M20" s="409"/>
    </row>
    <row r="21" spans="1:17" x14ac:dyDescent="0.2">
      <c r="A21" s="298" t="s">
        <v>1</v>
      </c>
      <c r="B21" s="259" t="s">
        <v>396</v>
      </c>
      <c r="C21" s="195" t="s">
        <v>617</v>
      </c>
      <c r="D21" s="195"/>
      <c r="E21" s="195"/>
      <c r="F21" s="195"/>
      <c r="G21" s="195"/>
      <c r="H21" s="195"/>
      <c r="I21" s="195"/>
      <c r="J21" s="194"/>
    </row>
    <row r="22" spans="1:17" x14ac:dyDescent="0.2">
      <c r="A22" s="298"/>
      <c r="B22" s="214"/>
      <c r="C22" s="195" t="s">
        <v>616</v>
      </c>
      <c r="D22" s="195"/>
      <c r="E22" s="195"/>
      <c r="F22" s="195"/>
      <c r="G22" s="195"/>
      <c r="H22" s="195"/>
      <c r="I22" s="195"/>
      <c r="J22" s="194"/>
      <c r="L22" s="188" t="s">
        <v>409</v>
      </c>
    </row>
    <row r="23" spans="1:17" x14ac:dyDescent="0.2">
      <c r="A23" s="298"/>
      <c r="B23" s="195"/>
      <c r="C23" s="195"/>
      <c r="D23" s="195"/>
      <c r="E23" s="195"/>
      <c r="F23" s="195"/>
      <c r="G23" s="195"/>
      <c r="H23" s="195"/>
      <c r="I23" s="195"/>
      <c r="J23" s="194"/>
    </row>
    <row r="24" spans="1:17" x14ac:dyDescent="0.2">
      <c r="A24" s="298" t="s">
        <v>2</v>
      </c>
      <c r="B24" s="195" t="s">
        <v>615</v>
      </c>
      <c r="C24" s="197" t="s">
        <v>614</v>
      </c>
      <c r="D24" s="195"/>
      <c r="E24" s="195"/>
      <c r="F24" s="195"/>
      <c r="G24" s="195"/>
      <c r="H24" s="195"/>
      <c r="I24" s="195"/>
      <c r="J24" s="194"/>
      <c r="L24" t="s">
        <v>613</v>
      </c>
    </row>
    <row r="25" spans="1:17" x14ac:dyDescent="0.2">
      <c r="A25" s="298"/>
      <c r="B25" s="195"/>
      <c r="C25" s="197" t="s">
        <v>612</v>
      </c>
      <c r="D25" s="195"/>
      <c r="E25" s="195"/>
      <c r="F25" s="195"/>
      <c r="G25" s="195"/>
      <c r="H25" s="195"/>
      <c r="I25" s="195"/>
      <c r="J25" s="194"/>
    </row>
    <row r="26" spans="1:17" ht="17" thickBot="1" x14ac:dyDescent="0.25">
      <c r="A26" s="298"/>
      <c r="B26" s="195"/>
      <c r="C26" s="195"/>
      <c r="D26" s="195"/>
      <c r="E26" s="195"/>
      <c r="F26" s="195"/>
      <c r="G26" s="195"/>
      <c r="H26" s="195"/>
      <c r="I26" s="195"/>
      <c r="J26" s="194"/>
      <c r="L26" s="386" t="s">
        <v>611</v>
      </c>
    </row>
    <row r="27" spans="1:17" ht="17" thickBot="1" x14ac:dyDescent="0.25">
      <c r="A27" s="312" t="s">
        <v>176</v>
      </c>
      <c r="B27" s="190"/>
      <c r="C27" s="311"/>
      <c r="D27" s="190"/>
      <c r="E27" s="190"/>
      <c r="F27" s="190"/>
      <c r="G27" s="190"/>
      <c r="H27" s="190"/>
      <c r="I27" s="190"/>
      <c r="J27" s="189"/>
    </row>
    <row r="28" spans="1:17" x14ac:dyDescent="0.2">
      <c r="M28" s="310"/>
    </row>
    <row r="29" spans="1:17" x14ac:dyDescent="0.2">
      <c r="N29" s="178" t="s">
        <v>610</v>
      </c>
    </row>
    <row r="30" spans="1:17" x14ac:dyDescent="0.2">
      <c r="L30" s="185" t="s">
        <v>17</v>
      </c>
      <c r="M30" s="186" t="s">
        <v>251</v>
      </c>
      <c r="N30" s="186" t="s">
        <v>20</v>
      </c>
      <c r="O30" s="186" t="s">
        <v>609</v>
      </c>
      <c r="P30" s="185" t="s">
        <v>608</v>
      </c>
      <c r="Q30" s="186" t="s">
        <v>607</v>
      </c>
    </row>
    <row r="31" spans="1:17" x14ac:dyDescent="0.2">
      <c r="L31" s="182">
        <v>2014</v>
      </c>
      <c r="M31" s="329">
        <f>F8</f>
        <v>210000</v>
      </c>
      <c r="N31" s="449">
        <f>P7</f>
        <v>0.73879612503625858</v>
      </c>
      <c r="O31" s="329">
        <f>M31*(1/N31-1)</f>
        <v>74246.212024587483</v>
      </c>
      <c r="P31" s="332">
        <f>R7</f>
        <v>67986.020189678209</v>
      </c>
      <c r="Q31" s="329">
        <f>O31*N31+(1-P7)*P31</f>
        <v>72611.025659292805</v>
      </c>
    </row>
    <row r="32" spans="1:17" x14ac:dyDescent="0.2">
      <c r="L32" s="182">
        <v>2015</v>
      </c>
      <c r="M32" s="329">
        <f>F9</f>
        <v>130000</v>
      </c>
      <c r="N32" s="449">
        <f>P8</f>
        <v>0.56794761262033144</v>
      </c>
      <c r="O32" s="329">
        <f>M32*(1/N32-1)</f>
        <v>98894.350660655022</v>
      </c>
      <c r="P32" s="332">
        <f>R8</f>
        <v>105425.99029016458</v>
      </c>
      <c r="Q32" s="329">
        <f>O32*N32+(1-P8)*P32</f>
        <v>101716.36115608829</v>
      </c>
    </row>
    <row r="33" spans="12:18" x14ac:dyDescent="0.2">
      <c r="L33" s="182">
        <v>2016</v>
      </c>
      <c r="M33" s="329">
        <f>F10</f>
        <v>50000</v>
      </c>
      <c r="N33" s="449">
        <f>P9</f>
        <v>0.20190407351866496</v>
      </c>
      <c r="O33" s="329">
        <f>M33*(1/N33-1)</f>
        <v>197642.35376052363</v>
      </c>
      <c r="P33" s="332">
        <f>R9</f>
        <v>233694.03115063236</v>
      </c>
      <c r="Q33" s="329">
        <f>O33*N33+(1-P9)*P33</f>
        <v>226415.05062838865</v>
      </c>
    </row>
    <row r="34" spans="12:18" ht="17" thickBot="1" x14ac:dyDescent="0.25"/>
    <row r="35" spans="12:18" ht="17" thickBot="1" x14ac:dyDescent="0.25">
      <c r="L35" s="177" t="s">
        <v>606</v>
      </c>
      <c r="M35" s="242"/>
      <c r="N35" s="433">
        <f>SUM(Q31:Q33)</f>
        <v>400742.43744376977</v>
      </c>
    </row>
    <row r="37" spans="12:18" x14ac:dyDescent="0.2">
      <c r="L37" s="188" t="s">
        <v>436</v>
      </c>
    </row>
    <row r="38" spans="12:18" x14ac:dyDescent="0.2">
      <c r="L38" s="382" t="s">
        <v>605</v>
      </c>
      <c r="M38" s="382"/>
      <c r="N38" s="382"/>
      <c r="O38" s="382"/>
      <c r="P38" s="382"/>
      <c r="Q38" s="382"/>
      <c r="R38" s="382"/>
    </row>
    <row r="39" spans="12:18" ht="15.5" customHeight="1" x14ac:dyDescent="0.2">
      <c r="L39" s="382"/>
      <c r="M39" s="382"/>
      <c r="N39" s="382"/>
      <c r="O39" s="382"/>
      <c r="P39" s="382"/>
      <c r="Q39" s="382"/>
      <c r="R39" s="382"/>
    </row>
    <row r="42" spans="12:18" ht="19" x14ac:dyDescent="0.25">
      <c r="L42" s="174" t="s">
        <v>220</v>
      </c>
    </row>
    <row r="43" spans="12:18" x14ac:dyDescent="0.2">
      <c r="L43" t="s">
        <v>222</v>
      </c>
    </row>
  </sheetData>
  <mergeCells count="1">
    <mergeCell ref="L38:R39"/>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85157-71D6-5B44-8C07-86CB0E66AF0D}">
  <dimension ref="A1:T54"/>
  <sheetViews>
    <sheetView workbookViewId="0"/>
  </sheetViews>
  <sheetFormatPr baseColWidth="10" defaultColWidth="11" defaultRowHeight="16" outlineLevelCol="1" x14ac:dyDescent="0.2"/>
  <cols>
    <col min="1" max="1" width="4" style="252" customWidth="1"/>
    <col min="2" max="2" width="11.5" customWidth="1"/>
    <col min="3" max="3" width="10.6640625" customWidth="1"/>
    <col min="12" max="12" width="10.83203125" hidden="1" customWidth="1" outlineLevel="1"/>
    <col min="13" max="13" width="12.6640625" hidden="1" customWidth="1" outlineLevel="1"/>
    <col min="14" max="18" width="10.83203125" hidden="1" customWidth="1" outlineLevel="1"/>
    <col min="19" max="19" width="11" hidden="1" customWidth="1" outlineLevel="1"/>
    <col min="20" max="20" width="11" collapsed="1"/>
  </cols>
  <sheetData>
    <row r="1" spans="1:19" x14ac:dyDescent="0.2">
      <c r="A1" s="347"/>
      <c r="B1" s="226" t="s">
        <v>433</v>
      </c>
      <c r="C1" s="225" t="s">
        <v>658</v>
      </c>
      <c r="D1" s="225" t="s">
        <v>431</v>
      </c>
      <c r="E1" s="225" t="s">
        <v>657</v>
      </c>
      <c r="F1" s="224"/>
      <c r="G1" s="224"/>
      <c r="H1" s="224"/>
      <c r="I1" s="224"/>
      <c r="J1" s="223"/>
      <c r="K1" s="188" t="s">
        <v>177</v>
      </c>
      <c r="L1" s="188"/>
    </row>
    <row r="2" spans="1:19" x14ac:dyDescent="0.2">
      <c r="A2" s="298"/>
      <c r="B2" s="346" t="s">
        <v>429</v>
      </c>
      <c r="C2" s="345">
        <v>3</v>
      </c>
      <c r="D2" s="195"/>
      <c r="E2" s="195"/>
      <c r="F2" s="195"/>
      <c r="G2" s="195"/>
      <c r="H2" s="195"/>
      <c r="I2" s="195"/>
      <c r="J2" s="194"/>
    </row>
    <row r="3" spans="1:19" x14ac:dyDescent="0.2">
      <c r="A3" s="298"/>
      <c r="B3" s="195"/>
      <c r="C3" s="195"/>
      <c r="D3" s="195"/>
      <c r="E3" s="195"/>
      <c r="F3" s="195"/>
      <c r="G3" s="195"/>
      <c r="H3" s="195"/>
      <c r="I3" s="195"/>
      <c r="J3" s="194"/>
      <c r="L3" s="188" t="s">
        <v>428</v>
      </c>
      <c r="M3" s="254"/>
    </row>
    <row r="4" spans="1:19" x14ac:dyDescent="0.2">
      <c r="A4" s="298"/>
      <c r="B4" s="195"/>
      <c r="C4" s="195" t="s">
        <v>656</v>
      </c>
      <c r="D4" s="195"/>
      <c r="E4" s="195"/>
      <c r="F4" s="195"/>
      <c r="G4" s="195"/>
      <c r="H4" s="195"/>
      <c r="I4" s="195"/>
      <c r="J4" s="194"/>
      <c r="L4" s="155" t="s">
        <v>655</v>
      </c>
      <c r="M4" s="155"/>
      <c r="N4" s="155"/>
      <c r="O4" s="155"/>
      <c r="P4" s="155"/>
      <c r="Q4" s="155"/>
      <c r="R4" s="155"/>
    </row>
    <row r="5" spans="1:19" x14ac:dyDescent="0.2">
      <c r="A5" s="298"/>
      <c r="B5" s="195"/>
      <c r="C5" s="473" t="s">
        <v>654</v>
      </c>
      <c r="D5" s="195"/>
      <c r="E5" s="195"/>
      <c r="F5" s="195"/>
      <c r="G5" s="195"/>
      <c r="H5" s="195"/>
      <c r="I5" s="195"/>
      <c r="J5" s="194"/>
      <c r="L5" s="155"/>
      <c r="M5" s="155"/>
      <c r="N5" s="155"/>
      <c r="O5" s="155"/>
      <c r="P5" s="155"/>
      <c r="Q5" s="155"/>
      <c r="R5" s="155"/>
    </row>
    <row r="6" spans="1:19" x14ac:dyDescent="0.2">
      <c r="A6" s="298"/>
      <c r="B6" s="195"/>
      <c r="C6" s="195"/>
      <c r="D6" s="195"/>
      <c r="E6" s="195"/>
      <c r="F6" s="195"/>
      <c r="G6" s="195"/>
      <c r="H6" s="195"/>
      <c r="I6" s="195"/>
      <c r="J6" s="194"/>
    </row>
    <row r="7" spans="1:19" ht="16" customHeight="1" x14ac:dyDescent="0.2">
      <c r="A7" s="298"/>
      <c r="B7" s="195"/>
      <c r="C7" s="460" t="s">
        <v>601</v>
      </c>
      <c r="D7" s="459" t="s">
        <v>600</v>
      </c>
      <c r="E7" s="459" t="s">
        <v>653</v>
      </c>
      <c r="F7" s="458" t="s">
        <v>652</v>
      </c>
      <c r="G7" s="195"/>
      <c r="H7" s="195"/>
      <c r="I7" s="195"/>
      <c r="J7" s="194"/>
      <c r="L7" s="185" t="s">
        <v>17</v>
      </c>
      <c r="M7" s="334" t="s">
        <v>629</v>
      </c>
      <c r="N7" s="334" t="s">
        <v>251</v>
      </c>
      <c r="O7" s="186" t="s">
        <v>250</v>
      </c>
      <c r="P7" s="186" t="s">
        <v>249</v>
      </c>
      <c r="Q7" s="185" t="s">
        <v>424</v>
      </c>
      <c r="R7" s="186" t="s">
        <v>423</v>
      </c>
      <c r="S7" s="186" t="s">
        <v>651</v>
      </c>
    </row>
    <row r="8" spans="1:19" ht="15.75" customHeight="1" x14ac:dyDescent="0.2">
      <c r="A8" s="298"/>
      <c r="B8" s="195"/>
      <c r="C8" s="456"/>
      <c r="D8" s="455"/>
      <c r="E8" s="455"/>
      <c r="F8" s="454"/>
      <c r="G8" s="195"/>
      <c r="H8" s="195"/>
      <c r="I8" s="195"/>
      <c r="J8" s="194"/>
      <c r="L8" s="182">
        <f>C10</f>
        <v>2014</v>
      </c>
      <c r="M8" s="329">
        <f>D10</f>
        <v>1000</v>
      </c>
      <c r="N8" s="329">
        <f>E10</f>
        <v>275</v>
      </c>
      <c r="O8" s="178">
        <f>O9+12</f>
        <v>42</v>
      </c>
      <c r="P8" s="325">
        <f>O8/(O8+$M$14)</f>
        <v>0.46666666666666667</v>
      </c>
      <c r="Q8" s="332">
        <f>M8*P8</f>
        <v>466.66666666666669</v>
      </c>
      <c r="R8" s="329">
        <f>$M$16*M8*(1-P8)</f>
        <v>400.1262600549843</v>
      </c>
      <c r="S8" s="329">
        <f>R8-F10</f>
        <v>0.12626005498430004</v>
      </c>
    </row>
    <row r="9" spans="1:19" x14ac:dyDescent="0.2">
      <c r="A9" s="298"/>
      <c r="B9" s="195"/>
      <c r="C9" s="452"/>
      <c r="D9" s="451"/>
      <c r="E9" s="451"/>
      <c r="F9" s="450"/>
      <c r="G9" s="195"/>
      <c r="H9" s="195"/>
      <c r="I9" s="195"/>
      <c r="J9" s="194"/>
      <c r="L9" s="182">
        <v>2015</v>
      </c>
      <c r="M9" s="329">
        <f>D11</f>
        <v>1200</v>
      </c>
      <c r="N9" s="329">
        <f>E11</f>
        <v>306</v>
      </c>
      <c r="O9" s="178">
        <f>O10+12</f>
        <v>30</v>
      </c>
      <c r="P9" s="325">
        <f>O9/(O9+$M$14)</f>
        <v>0.38461538461538464</v>
      </c>
      <c r="Q9" s="332">
        <f>M9*P9</f>
        <v>461.53846153846155</v>
      </c>
      <c r="R9" s="329">
        <f>$M$16*M9*(1-P9)</f>
        <v>554.02097546074742</v>
      </c>
      <c r="S9" s="329">
        <f>R9-F11</f>
        <v>0.17097546074739967</v>
      </c>
    </row>
    <row r="10" spans="1:19" x14ac:dyDescent="0.2">
      <c r="A10" s="298"/>
      <c r="B10" s="195"/>
      <c r="C10" s="221">
        <v>2014</v>
      </c>
      <c r="D10" s="215">
        <v>1000</v>
      </c>
      <c r="E10" s="214">
        <v>275</v>
      </c>
      <c r="F10" s="472">
        <v>400</v>
      </c>
      <c r="G10" s="195"/>
      <c r="H10" s="195"/>
      <c r="I10" s="195"/>
      <c r="J10" s="194"/>
      <c r="L10" s="182">
        <v>2016</v>
      </c>
      <c r="M10" s="329">
        <f>D12</f>
        <v>1500</v>
      </c>
      <c r="N10" s="329">
        <f>E12</f>
        <v>344</v>
      </c>
      <c r="O10" s="178">
        <f>O11+12</f>
        <v>18</v>
      </c>
      <c r="P10" s="325">
        <f>O10/(O10+$M$14)</f>
        <v>0.27272727272727271</v>
      </c>
      <c r="Q10" s="332">
        <f>M10*P10</f>
        <v>409.09090909090907</v>
      </c>
      <c r="R10" s="329">
        <f>$M$16*M10*(1-P10)</f>
        <v>818.44007738519508</v>
      </c>
      <c r="S10" s="329">
        <f>R10-F12</f>
        <v>0.26007738519513168</v>
      </c>
    </row>
    <row r="11" spans="1:19" x14ac:dyDescent="0.2">
      <c r="A11" s="298"/>
      <c r="B11" s="195"/>
      <c r="C11" s="221">
        <v>2015</v>
      </c>
      <c r="D11" s="215">
        <v>1200</v>
      </c>
      <c r="E11" s="214">
        <v>306</v>
      </c>
      <c r="F11" s="472">
        <v>553.85</v>
      </c>
      <c r="G11" s="195"/>
      <c r="H11" s="195"/>
      <c r="I11" s="195"/>
      <c r="J11" s="194"/>
      <c r="L11" s="182">
        <v>2016</v>
      </c>
      <c r="M11" s="464">
        <f>D13</f>
        <v>1700</v>
      </c>
      <c r="N11" s="334">
        <f>E13</f>
        <v>220</v>
      </c>
      <c r="O11" s="186">
        <v>6</v>
      </c>
      <c r="P11" s="463">
        <f>O11/(O11+$M$14)</f>
        <v>0.1111111111111111</v>
      </c>
      <c r="Q11" s="335">
        <f>M11*P11</f>
        <v>188.88888888888889</v>
      </c>
      <c r="R11" s="334">
        <f>$M$16*M11*(1-P11)</f>
        <v>1133.6910701557886</v>
      </c>
      <c r="S11" s="329">
        <f>R11-F13</f>
        <v>0.36107015578863866</v>
      </c>
    </row>
    <row r="12" spans="1:19" x14ac:dyDescent="0.2">
      <c r="A12" s="298"/>
      <c r="B12" s="195"/>
      <c r="C12" s="221">
        <v>2016</v>
      </c>
      <c r="D12" s="215">
        <v>1500</v>
      </c>
      <c r="E12" s="214">
        <v>344</v>
      </c>
      <c r="F12" s="472">
        <v>818.18</v>
      </c>
      <c r="G12" s="195"/>
      <c r="H12" s="195"/>
      <c r="I12" s="195"/>
      <c r="J12" s="194"/>
      <c r="L12" s="462" t="s">
        <v>152</v>
      </c>
      <c r="M12" s="329">
        <f>SUM(M8:M11)</f>
        <v>5400</v>
      </c>
      <c r="N12" s="329">
        <f>SUM(N8:N11)</f>
        <v>1145</v>
      </c>
      <c r="Q12" s="461">
        <f>SUM(Q8:Q11)</f>
        <v>1526.1849261849261</v>
      </c>
      <c r="R12" s="329">
        <f>SUM(R8:R11)</f>
        <v>2906.2783830567155</v>
      </c>
      <c r="S12" s="181"/>
    </row>
    <row r="13" spans="1:19" x14ac:dyDescent="0.2">
      <c r="A13" s="298"/>
      <c r="B13" s="195"/>
      <c r="C13" s="218">
        <v>2017</v>
      </c>
      <c r="D13" s="278">
        <v>1700</v>
      </c>
      <c r="E13" s="209">
        <v>220</v>
      </c>
      <c r="F13" s="471">
        <v>1133.33</v>
      </c>
      <c r="G13" s="195"/>
      <c r="H13" s="195"/>
      <c r="I13" s="195"/>
      <c r="J13" s="194"/>
    </row>
    <row r="14" spans="1:19" x14ac:dyDescent="0.2">
      <c r="A14" s="298"/>
      <c r="B14" s="214"/>
      <c r="C14" s="195"/>
      <c r="D14" s="195"/>
      <c r="E14" s="195"/>
      <c r="F14" s="195"/>
      <c r="G14" s="195"/>
      <c r="H14" s="195"/>
      <c r="I14" s="195"/>
      <c r="J14" s="194"/>
      <c r="L14" s="470" t="s">
        <v>650</v>
      </c>
      <c r="M14" s="469">
        <v>48</v>
      </c>
    </row>
    <row r="15" spans="1:19" ht="17" thickBot="1" x14ac:dyDescent="0.25">
      <c r="A15" s="298"/>
      <c r="B15" s="214"/>
      <c r="C15" s="195" t="s">
        <v>649</v>
      </c>
      <c r="D15" s="195"/>
      <c r="E15" s="195"/>
      <c r="F15" s="195"/>
      <c r="G15" s="195"/>
      <c r="H15" s="195"/>
      <c r="I15" s="195"/>
      <c r="J15" s="194"/>
    </row>
    <row r="16" spans="1:19" ht="17" thickBot="1" x14ac:dyDescent="0.25">
      <c r="A16" s="298"/>
      <c r="B16" s="214"/>
      <c r="C16" s="195" t="s">
        <v>648</v>
      </c>
      <c r="D16" s="195"/>
      <c r="E16" s="195"/>
      <c r="F16" s="195"/>
      <c r="G16" s="195"/>
      <c r="H16" s="195"/>
      <c r="I16" s="195"/>
      <c r="J16" s="194"/>
      <c r="L16" s="434" t="s">
        <v>47</v>
      </c>
      <c r="M16" s="467">
        <f>N12/Q12</f>
        <v>0.7502367376030955</v>
      </c>
    </row>
    <row r="17" spans="1:18" x14ac:dyDescent="0.2">
      <c r="A17" s="298"/>
      <c r="B17" s="214"/>
      <c r="C17" s="195" t="s">
        <v>647</v>
      </c>
      <c r="D17" s="195"/>
      <c r="E17" s="195"/>
      <c r="F17" s="195"/>
      <c r="G17" s="195"/>
      <c r="H17" s="195"/>
      <c r="I17" s="195"/>
      <c r="J17" s="194"/>
      <c r="M17" s="254"/>
    </row>
    <row r="18" spans="1:18" ht="19" x14ac:dyDescent="0.25">
      <c r="A18" s="298"/>
      <c r="B18" s="214"/>
      <c r="C18" s="195" t="s">
        <v>646</v>
      </c>
      <c r="D18" s="195"/>
      <c r="E18" s="195"/>
      <c r="F18" s="195"/>
      <c r="G18" s="195"/>
      <c r="H18" s="195"/>
      <c r="I18" s="195"/>
      <c r="J18" s="194"/>
      <c r="L18" s="468" t="s">
        <v>645</v>
      </c>
      <c r="M18" s="254"/>
    </row>
    <row r="19" spans="1:18" x14ac:dyDescent="0.2">
      <c r="A19" s="298"/>
      <c r="B19" s="214"/>
      <c r="C19" s="195"/>
      <c r="D19" s="195"/>
      <c r="E19" s="195"/>
      <c r="F19" s="195"/>
      <c r="G19" s="195"/>
      <c r="H19" s="195"/>
      <c r="I19" s="195"/>
      <c r="J19" s="194"/>
      <c r="M19" s="254"/>
    </row>
    <row r="20" spans="1:18" x14ac:dyDescent="0.2">
      <c r="A20" s="298" t="s">
        <v>0</v>
      </c>
      <c r="B20" s="195" t="s">
        <v>621</v>
      </c>
      <c r="C20" s="195" t="s">
        <v>644</v>
      </c>
      <c r="D20" s="195"/>
      <c r="E20" s="195"/>
      <c r="F20" s="195"/>
      <c r="G20" s="195"/>
      <c r="H20" s="195"/>
      <c r="I20" s="195"/>
      <c r="J20" s="194"/>
      <c r="L20" t="s">
        <v>643</v>
      </c>
      <c r="M20" s="179"/>
    </row>
    <row r="21" spans="1:18" x14ac:dyDescent="0.2">
      <c r="A21" s="298"/>
      <c r="B21" s="214"/>
      <c r="C21" s="195"/>
      <c r="D21" s="195"/>
      <c r="E21" s="195"/>
      <c r="F21" s="195"/>
      <c r="G21" s="195"/>
      <c r="H21" s="195"/>
      <c r="I21" s="195"/>
      <c r="J21" s="194"/>
      <c r="L21" t="s">
        <v>642</v>
      </c>
    </row>
    <row r="22" spans="1:18" x14ac:dyDescent="0.2">
      <c r="A22" s="298" t="s">
        <v>1</v>
      </c>
      <c r="B22" s="195" t="s">
        <v>521</v>
      </c>
      <c r="C22" s="195" t="s">
        <v>641</v>
      </c>
      <c r="D22" s="195"/>
      <c r="E22" s="195"/>
      <c r="F22" s="195"/>
      <c r="G22" s="195"/>
      <c r="H22" s="195"/>
      <c r="I22" s="195"/>
      <c r="J22" s="194"/>
    </row>
    <row r="23" spans="1:18" x14ac:dyDescent="0.2">
      <c r="A23" s="298"/>
      <c r="B23" s="214"/>
      <c r="C23" s="195"/>
      <c r="D23" s="195"/>
      <c r="E23" s="195"/>
      <c r="F23" s="195"/>
      <c r="G23" s="195"/>
      <c r="H23" s="195"/>
      <c r="I23" s="195"/>
      <c r="J23" s="194"/>
      <c r="L23" t="s">
        <v>640</v>
      </c>
    </row>
    <row r="24" spans="1:18" x14ac:dyDescent="0.2">
      <c r="A24" s="298" t="s">
        <v>2</v>
      </c>
      <c r="B24" s="195" t="s">
        <v>521</v>
      </c>
      <c r="C24" s="195" t="s">
        <v>639</v>
      </c>
      <c r="D24" s="195"/>
      <c r="E24" s="195"/>
      <c r="F24" s="195"/>
      <c r="G24" s="195"/>
      <c r="H24" s="195"/>
      <c r="I24" s="195"/>
      <c r="J24" s="194"/>
    </row>
    <row r="25" spans="1:18" ht="15.5" customHeight="1" thickBot="1" x14ac:dyDescent="0.25">
      <c r="A25" s="298"/>
      <c r="B25" s="195"/>
      <c r="C25" s="197" t="s">
        <v>638</v>
      </c>
      <c r="D25" s="195"/>
      <c r="E25" s="195"/>
      <c r="F25" s="195"/>
      <c r="G25" s="195"/>
      <c r="H25" s="195"/>
      <c r="I25" s="195"/>
      <c r="J25" s="194"/>
      <c r="L25" s="178" t="s">
        <v>637</v>
      </c>
      <c r="M25" s="329">
        <v>48</v>
      </c>
    </row>
    <row r="26" spans="1:18" ht="17" thickBot="1" x14ac:dyDescent="0.25">
      <c r="A26" s="298"/>
      <c r="B26" s="195"/>
      <c r="C26" s="197"/>
      <c r="D26" s="195"/>
      <c r="E26" s="195"/>
      <c r="F26" s="195"/>
      <c r="G26" s="195"/>
      <c r="H26" s="195"/>
      <c r="I26" s="195"/>
      <c r="J26" s="194"/>
      <c r="L26" s="434" t="s">
        <v>47</v>
      </c>
      <c r="M26" s="467">
        <f>(400/1000)/(1-(42/(42+M25)))</f>
        <v>0.75</v>
      </c>
    </row>
    <row r="27" spans="1:18" ht="17" thickBot="1" x14ac:dyDescent="0.25">
      <c r="A27" s="312" t="s">
        <v>176</v>
      </c>
      <c r="B27" s="190"/>
      <c r="C27" s="311"/>
      <c r="D27" s="190"/>
      <c r="E27" s="190"/>
      <c r="F27" s="190"/>
      <c r="G27" s="190"/>
      <c r="H27" s="190"/>
      <c r="I27" s="190"/>
      <c r="J27" s="189"/>
    </row>
    <row r="29" spans="1:18" x14ac:dyDescent="0.2">
      <c r="L29" s="188" t="s">
        <v>409</v>
      </c>
    </row>
    <row r="30" spans="1:18" x14ac:dyDescent="0.2">
      <c r="L30" s="382" t="s">
        <v>603</v>
      </c>
      <c r="M30" s="382"/>
      <c r="N30" s="382"/>
      <c r="O30" s="382"/>
      <c r="P30" s="382"/>
      <c r="Q30" s="382"/>
      <c r="R30" s="382"/>
    </row>
    <row r="31" spans="1:18" x14ac:dyDescent="0.2">
      <c r="L31" s="382"/>
      <c r="M31" s="382"/>
      <c r="N31" s="382"/>
      <c r="O31" s="382"/>
      <c r="P31" s="382"/>
      <c r="Q31" s="382"/>
      <c r="R31" s="382"/>
    </row>
    <row r="32" spans="1:18" x14ac:dyDescent="0.2">
      <c r="L32" s="466"/>
      <c r="M32" s="466"/>
      <c r="N32" s="466"/>
      <c r="O32" s="466"/>
      <c r="P32" s="466"/>
      <c r="Q32" s="466"/>
      <c r="R32" s="466"/>
    </row>
    <row r="33" spans="12:18" x14ac:dyDescent="0.2">
      <c r="L33" s="465"/>
      <c r="M33" s="457" t="s">
        <v>343</v>
      </c>
    </row>
    <row r="34" spans="12:18" x14ac:dyDescent="0.2">
      <c r="L34" s="185" t="s">
        <v>17</v>
      </c>
      <c r="M34" s="453" t="s">
        <v>581</v>
      </c>
    </row>
    <row r="35" spans="12:18" x14ac:dyDescent="0.2">
      <c r="L35" s="182">
        <v>2012</v>
      </c>
      <c r="M35" s="447">
        <f>N8/Q8</f>
        <v>0.5892857142857143</v>
      </c>
    </row>
    <row r="36" spans="12:18" x14ac:dyDescent="0.2">
      <c r="L36" s="182">
        <v>2013</v>
      </c>
      <c r="M36" s="447">
        <f>N9/Q9</f>
        <v>0.66300000000000003</v>
      </c>
    </row>
    <row r="37" spans="12:18" x14ac:dyDescent="0.2">
      <c r="L37" s="182">
        <v>2014</v>
      </c>
      <c r="M37" s="447">
        <f>N10/Q10</f>
        <v>0.84088888888888891</v>
      </c>
    </row>
    <row r="38" spans="12:18" x14ac:dyDescent="0.2">
      <c r="L38" s="182">
        <v>2015</v>
      </c>
      <c r="M38" s="447">
        <f>N11/Q11</f>
        <v>1.1647058823529413</v>
      </c>
    </row>
    <row r="40" spans="12:18" x14ac:dyDescent="0.2">
      <c r="L40" s="382" t="s">
        <v>636</v>
      </c>
      <c r="M40" s="382"/>
      <c r="N40" s="382"/>
      <c r="O40" s="382"/>
      <c r="P40" s="382"/>
      <c r="Q40" s="382"/>
      <c r="R40" s="382"/>
    </row>
    <row r="41" spans="12:18" x14ac:dyDescent="0.2">
      <c r="L41" s="382"/>
      <c r="M41" s="382"/>
      <c r="N41" s="382"/>
      <c r="O41" s="382"/>
      <c r="P41" s="382"/>
      <c r="Q41" s="382"/>
      <c r="R41" s="382"/>
    </row>
    <row r="42" spans="12:18" x14ac:dyDescent="0.2">
      <c r="L42" s="382"/>
      <c r="M42" s="382"/>
      <c r="N42" s="382"/>
      <c r="O42" s="382"/>
      <c r="P42" s="382"/>
      <c r="Q42" s="382"/>
      <c r="R42" s="382"/>
    </row>
    <row r="44" spans="12:18" x14ac:dyDescent="0.2">
      <c r="L44" s="188" t="s">
        <v>436</v>
      </c>
      <c r="M44" s="310"/>
    </row>
    <row r="45" spans="12:18" x14ac:dyDescent="0.2">
      <c r="L45" t="s">
        <v>635</v>
      </c>
    </row>
    <row r="47" spans="12:18" x14ac:dyDescent="0.2">
      <c r="L47" s="382" t="s">
        <v>634</v>
      </c>
      <c r="M47" s="382"/>
      <c r="N47" s="382"/>
      <c r="O47" s="382"/>
      <c r="P47" s="382"/>
      <c r="Q47" s="382"/>
      <c r="R47" s="382"/>
    </row>
    <row r="48" spans="12:18" x14ac:dyDescent="0.2">
      <c r="L48" s="382"/>
      <c r="M48" s="382"/>
      <c r="N48" s="382"/>
      <c r="O48" s="382"/>
      <c r="P48" s="382"/>
      <c r="Q48" s="382"/>
      <c r="R48" s="382"/>
    </row>
    <row r="50" spans="12:12" x14ac:dyDescent="0.2">
      <c r="L50" t="s">
        <v>633</v>
      </c>
    </row>
    <row r="53" spans="12:12" ht="19" x14ac:dyDescent="0.25">
      <c r="L53" s="174" t="s">
        <v>220</v>
      </c>
    </row>
    <row r="54" spans="12:12" x14ac:dyDescent="0.2">
      <c r="L54" t="s">
        <v>222</v>
      </c>
    </row>
  </sheetData>
  <mergeCells count="8">
    <mergeCell ref="L4:R5"/>
    <mergeCell ref="L30:R31"/>
    <mergeCell ref="L40:R42"/>
    <mergeCell ref="L47:R48"/>
    <mergeCell ref="C7:C9"/>
    <mergeCell ref="D7:D9"/>
    <mergeCell ref="E7:E9"/>
    <mergeCell ref="F7:F9"/>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933F7-D81F-D242-8768-6A8F9F8A7362}">
  <dimension ref="A1:S24"/>
  <sheetViews>
    <sheetView workbookViewId="0"/>
  </sheetViews>
  <sheetFormatPr baseColWidth="10" defaultColWidth="11" defaultRowHeight="16" outlineLevelCol="1" x14ac:dyDescent="0.2"/>
  <cols>
    <col min="1" max="1" width="4" style="252" customWidth="1"/>
    <col min="2" max="2" width="11.5" customWidth="1"/>
    <col min="6" max="6" width="11.33203125" bestFit="1" customWidth="1"/>
    <col min="12" max="12" width="13.83203125" hidden="1" customWidth="1" outlineLevel="1"/>
    <col min="13" max="13" width="14.6640625" hidden="1" customWidth="1" outlineLevel="1"/>
    <col min="14" max="14" width="10.83203125" hidden="1" customWidth="1" outlineLevel="1"/>
    <col min="15" max="15" width="10.6640625" hidden="1" customWidth="1" outlineLevel="1"/>
    <col min="16" max="18" width="10.83203125" hidden="1" customWidth="1" outlineLevel="1"/>
    <col min="19" max="19" width="11" collapsed="1"/>
  </cols>
  <sheetData>
    <row r="1" spans="1:18" x14ac:dyDescent="0.2">
      <c r="A1" s="347"/>
      <c r="B1" s="226" t="s">
        <v>433</v>
      </c>
      <c r="C1" s="225" t="s">
        <v>677</v>
      </c>
      <c r="D1" s="225" t="s">
        <v>431</v>
      </c>
      <c r="E1" s="225" t="s">
        <v>632</v>
      </c>
      <c r="F1" s="224"/>
      <c r="G1" s="224"/>
      <c r="H1" s="224"/>
      <c r="I1" s="224"/>
      <c r="J1" s="223"/>
      <c r="K1" s="188" t="s">
        <v>177</v>
      </c>
      <c r="L1" s="188"/>
    </row>
    <row r="2" spans="1:18" x14ac:dyDescent="0.2">
      <c r="A2" s="298"/>
      <c r="B2" s="346" t="s">
        <v>429</v>
      </c>
      <c r="C2" s="345">
        <v>2</v>
      </c>
      <c r="D2" s="195"/>
      <c r="E2" s="195"/>
      <c r="F2" s="195"/>
      <c r="G2" s="195"/>
      <c r="H2" s="195"/>
      <c r="I2" s="195"/>
      <c r="J2" s="194"/>
    </row>
    <row r="3" spans="1:18" x14ac:dyDescent="0.2">
      <c r="A3" s="298"/>
      <c r="B3" s="195"/>
      <c r="C3" s="195"/>
      <c r="D3" s="195"/>
      <c r="E3" s="195"/>
      <c r="F3" s="195"/>
      <c r="G3" s="195"/>
      <c r="H3" s="195"/>
      <c r="I3" s="195"/>
      <c r="J3" s="194"/>
      <c r="L3" s="188" t="s">
        <v>428</v>
      </c>
      <c r="M3" s="254"/>
    </row>
    <row r="4" spans="1:18" x14ac:dyDescent="0.2">
      <c r="A4" s="298"/>
      <c r="B4" s="195"/>
      <c r="C4" s="195" t="s">
        <v>676</v>
      </c>
      <c r="D4" s="195"/>
      <c r="E4" s="195"/>
      <c r="F4" s="195"/>
      <c r="G4" s="195"/>
      <c r="H4" s="195"/>
      <c r="I4" s="195"/>
      <c r="J4" s="194"/>
      <c r="L4" t="s">
        <v>675</v>
      </c>
      <c r="M4" s="181">
        <f>F6*F7</f>
        <v>6500000</v>
      </c>
      <c r="N4" t="s">
        <v>674</v>
      </c>
    </row>
    <row r="5" spans="1:18" x14ac:dyDescent="0.2">
      <c r="A5" s="298"/>
      <c r="B5" s="195"/>
      <c r="C5" s="195"/>
      <c r="D5" s="195"/>
      <c r="E5" s="195"/>
      <c r="F5" s="195"/>
      <c r="G5" s="195"/>
      <c r="H5" s="195"/>
      <c r="I5" s="195"/>
      <c r="J5" s="194"/>
      <c r="L5" t="s">
        <v>673</v>
      </c>
      <c r="M5" s="181">
        <f>M4*F8</f>
        <v>325000000000</v>
      </c>
      <c r="N5" s="386" t="s">
        <v>672</v>
      </c>
    </row>
    <row r="6" spans="1:18" x14ac:dyDescent="0.2">
      <c r="A6" s="298"/>
      <c r="B6" s="195"/>
      <c r="C6" s="195" t="s">
        <v>671</v>
      </c>
      <c r="D6" s="195"/>
      <c r="E6" s="195"/>
      <c r="F6" s="423">
        <v>10000000</v>
      </c>
      <c r="G6" s="195"/>
      <c r="H6" s="195"/>
      <c r="I6" s="195"/>
      <c r="J6" s="194"/>
      <c r="L6" t="s">
        <v>670</v>
      </c>
      <c r="M6" s="181">
        <f>F6^2*E12</f>
        <v>290000000000</v>
      </c>
      <c r="N6" t="s">
        <v>669</v>
      </c>
    </row>
    <row r="7" spans="1:18" x14ac:dyDescent="0.2">
      <c r="A7" s="298"/>
      <c r="B7" s="195"/>
      <c r="C7" s="195" t="s">
        <v>668</v>
      </c>
      <c r="D7" s="195"/>
      <c r="E7" s="195"/>
      <c r="F7" s="476">
        <v>0.65</v>
      </c>
      <c r="G7" s="195"/>
      <c r="H7" s="195"/>
      <c r="I7" s="195"/>
      <c r="J7" s="194"/>
      <c r="M7" s="181"/>
    </row>
    <row r="8" spans="1:18" ht="17" thickBot="1" x14ac:dyDescent="0.25">
      <c r="A8" s="298"/>
      <c r="B8" s="195"/>
      <c r="C8" s="195" t="s">
        <v>667</v>
      </c>
      <c r="D8" s="195"/>
      <c r="E8" s="195"/>
      <c r="F8" s="356">
        <v>50000</v>
      </c>
      <c r="G8" s="195"/>
      <c r="H8" s="195"/>
      <c r="I8" s="195"/>
      <c r="J8" s="194"/>
      <c r="L8" t="s">
        <v>313</v>
      </c>
      <c r="M8" s="329">
        <f>SQRT(M5+M6)</f>
        <v>784219.35706790606</v>
      </c>
    </row>
    <row r="9" spans="1:18" ht="17" thickBot="1" x14ac:dyDescent="0.25">
      <c r="A9" s="298"/>
      <c r="B9" s="195"/>
      <c r="C9" s="195" t="s">
        <v>666</v>
      </c>
      <c r="D9" s="195"/>
      <c r="E9" s="195"/>
      <c r="F9" s="195"/>
      <c r="G9" s="195"/>
      <c r="H9" s="195"/>
      <c r="I9" s="195"/>
      <c r="J9" s="194"/>
      <c r="L9" s="177" t="s">
        <v>312</v>
      </c>
      <c r="M9" s="475">
        <f>M8/M4</f>
        <v>0.12064913185660094</v>
      </c>
    </row>
    <row r="10" spans="1:18" x14ac:dyDescent="0.2">
      <c r="A10" s="298"/>
      <c r="B10" s="195"/>
      <c r="C10" s="195"/>
      <c r="D10" s="195"/>
      <c r="E10" s="195"/>
      <c r="F10" s="195"/>
      <c r="G10" s="195"/>
      <c r="H10" s="195"/>
      <c r="I10" s="195"/>
      <c r="J10" s="194"/>
    </row>
    <row r="11" spans="1:18" x14ac:dyDescent="0.2">
      <c r="A11" s="298"/>
      <c r="B11" s="195"/>
      <c r="C11" s="195"/>
      <c r="D11" s="328"/>
      <c r="E11" s="270" t="s">
        <v>47</v>
      </c>
      <c r="F11" s="270" t="s">
        <v>72</v>
      </c>
      <c r="G11" s="279" t="s">
        <v>71</v>
      </c>
      <c r="H11" s="195"/>
      <c r="I11" s="195"/>
      <c r="J11" s="194"/>
      <c r="L11" s="188" t="s">
        <v>409</v>
      </c>
      <c r="M11" s="310"/>
    </row>
    <row r="12" spans="1:18" x14ac:dyDescent="0.2">
      <c r="A12" s="298"/>
      <c r="B12" s="195"/>
      <c r="C12" s="195"/>
      <c r="D12" s="221" t="s">
        <v>47</v>
      </c>
      <c r="E12" s="474">
        <v>2.8999999999999998E-3</v>
      </c>
      <c r="F12" s="474">
        <v>-4.1999999999999997E-3</v>
      </c>
      <c r="G12" s="205">
        <v>0.19</v>
      </c>
      <c r="H12" s="195"/>
      <c r="I12" s="195"/>
      <c r="J12" s="194"/>
      <c r="L12" s="382" t="s">
        <v>665</v>
      </c>
      <c r="M12" s="382"/>
      <c r="N12" s="382"/>
      <c r="O12" s="382"/>
      <c r="P12" s="382"/>
      <c r="Q12" s="382"/>
      <c r="R12" s="382"/>
    </row>
    <row r="13" spans="1:18" ht="15.5" customHeight="1" x14ac:dyDescent="0.2">
      <c r="A13" s="298"/>
      <c r="B13" s="195"/>
      <c r="C13" s="195"/>
      <c r="D13" s="221" t="s">
        <v>72</v>
      </c>
      <c r="E13" s="474">
        <v>-4.1999999999999997E-3</v>
      </c>
      <c r="F13" s="474">
        <v>5.4999999999999997E-3</v>
      </c>
      <c r="G13" s="205">
        <v>-0.41</v>
      </c>
      <c r="H13" s="195"/>
      <c r="I13" s="195"/>
      <c r="J13" s="194"/>
      <c r="L13" s="382"/>
      <c r="M13" s="382"/>
      <c r="N13" s="382"/>
      <c r="O13" s="382"/>
      <c r="P13" s="382"/>
      <c r="Q13" s="382"/>
      <c r="R13" s="382"/>
    </row>
    <row r="14" spans="1:18" x14ac:dyDescent="0.2">
      <c r="A14" s="298"/>
      <c r="B14" s="214"/>
      <c r="C14" s="195"/>
      <c r="D14" s="218" t="s">
        <v>71</v>
      </c>
      <c r="E14" s="203">
        <v>0.19</v>
      </c>
      <c r="F14" s="203">
        <v>-0.41</v>
      </c>
      <c r="G14" s="202">
        <v>25.52</v>
      </c>
      <c r="H14" s="195"/>
      <c r="I14" s="195"/>
      <c r="J14" s="194"/>
      <c r="L14" s="443"/>
      <c r="M14" s="443"/>
      <c r="N14" s="443"/>
      <c r="O14" s="443"/>
      <c r="P14" s="443"/>
      <c r="Q14" s="443"/>
      <c r="R14" s="443"/>
    </row>
    <row r="15" spans="1:18" x14ac:dyDescent="0.2">
      <c r="A15" s="298"/>
      <c r="B15" s="214"/>
      <c r="C15" s="195"/>
      <c r="D15" s="195"/>
      <c r="E15" s="195"/>
      <c r="F15" s="195"/>
      <c r="G15" s="195"/>
      <c r="H15" s="195"/>
      <c r="I15" s="195"/>
      <c r="J15" s="194"/>
      <c r="L15" s="188" t="s">
        <v>436</v>
      </c>
    </row>
    <row r="16" spans="1:18" x14ac:dyDescent="0.2">
      <c r="A16" s="298" t="s">
        <v>0</v>
      </c>
      <c r="B16" s="259" t="s">
        <v>396</v>
      </c>
      <c r="C16" s="195" t="s">
        <v>664</v>
      </c>
      <c r="D16" s="195"/>
      <c r="E16" s="195"/>
      <c r="F16" s="195"/>
      <c r="G16" s="195"/>
      <c r="H16" s="195"/>
      <c r="I16" s="195"/>
      <c r="J16" s="194"/>
      <c r="L16" s="382" t="s">
        <v>663</v>
      </c>
      <c r="M16" s="382"/>
      <c r="N16" s="382"/>
      <c r="O16" s="382"/>
      <c r="P16" s="382"/>
      <c r="Q16" s="382"/>
      <c r="R16" s="382"/>
    </row>
    <row r="17" spans="1:18" x14ac:dyDescent="0.2">
      <c r="A17" s="298"/>
      <c r="B17" s="214"/>
      <c r="C17" s="195"/>
      <c r="D17" s="195"/>
      <c r="E17" s="195"/>
      <c r="F17" s="195"/>
      <c r="G17" s="195"/>
      <c r="H17" s="195"/>
      <c r="I17" s="195"/>
      <c r="J17" s="194"/>
      <c r="L17" s="382"/>
      <c r="M17" s="382"/>
      <c r="N17" s="382"/>
      <c r="O17" s="382"/>
      <c r="P17" s="382"/>
      <c r="Q17" s="382"/>
      <c r="R17" s="382"/>
    </row>
    <row r="18" spans="1:18" x14ac:dyDescent="0.2">
      <c r="A18" s="298" t="s">
        <v>1</v>
      </c>
      <c r="B18" s="259" t="s">
        <v>442</v>
      </c>
      <c r="C18" s="195" t="s">
        <v>662</v>
      </c>
      <c r="D18" s="195"/>
      <c r="E18" s="195"/>
      <c r="F18" s="195"/>
      <c r="G18" s="195"/>
      <c r="H18" s="195"/>
      <c r="I18" s="195"/>
      <c r="J18" s="194"/>
      <c r="M18" s="409"/>
    </row>
    <row r="19" spans="1:18" x14ac:dyDescent="0.2">
      <c r="A19" s="298"/>
      <c r="B19" s="214"/>
      <c r="C19" s="195" t="s">
        <v>661</v>
      </c>
      <c r="D19" s="195"/>
      <c r="E19" s="195"/>
      <c r="F19" s="195"/>
      <c r="G19" s="195"/>
      <c r="H19" s="195"/>
      <c r="I19" s="195"/>
      <c r="J19" s="194"/>
      <c r="M19" s="409"/>
    </row>
    <row r="20" spans="1:18" ht="19" x14ac:dyDescent="0.25">
      <c r="A20" s="298"/>
      <c r="B20" s="214"/>
      <c r="C20" s="195"/>
      <c r="D20" s="195"/>
      <c r="E20" s="195"/>
      <c r="F20" s="195"/>
      <c r="G20" s="195"/>
      <c r="H20" s="195"/>
      <c r="I20" s="195"/>
      <c r="J20" s="194"/>
      <c r="L20" s="174" t="s">
        <v>220</v>
      </c>
      <c r="M20" s="409"/>
    </row>
    <row r="21" spans="1:18" x14ac:dyDescent="0.2">
      <c r="A21" s="298" t="s">
        <v>2</v>
      </c>
      <c r="B21" s="259" t="s">
        <v>442</v>
      </c>
      <c r="C21" s="195" t="s">
        <v>660</v>
      </c>
      <c r="D21" s="195"/>
      <c r="E21" s="195"/>
      <c r="F21" s="195"/>
      <c r="G21" s="195"/>
      <c r="H21" s="195"/>
      <c r="I21" s="195"/>
      <c r="J21" s="194"/>
      <c r="L21" t="s">
        <v>224</v>
      </c>
      <c r="M21" s="409"/>
    </row>
    <row r="22" spans="1:18" x14ac:dyDescent="0.2">
      <c r="A22" s="298"/>
      <c r="B22" s="214"/>
      <c r="C22" s="195" t="s">
        <v>659</v>
      </c>
      <c r="D22" s="195"/>
      <c r="E22" s="195"/>
      <c r="F22" s="195"/>
      <c r="G22" s="195"/>
      <c r="H22" s="195"/>
      <c r="I22" s="195"/>
      <c r="J22" s="194"/>
    </row>
    <row r="23" spans="1:18" ht="17" thickBot="1" x14ac:dyDescent="0.25">
      <c r="A23" s="298"/>
      <c r="B23" s="214"/>
      <c r="C23" s="195"/>
      <c r="D23" s="195"/>
      <c r="E23" s="195"/>
      <c r="F23" s="195"/>
      <c r="G23" s="195"/>
      <c r="H23" s="195"/>
      <c r="I23" s="195"/>
      <c r="J23" s="194"/>
      <c r="L23" s="188"/>
      <c r="M23" s="310"/>
    </row>
    <row r="24" spans="1:18" ht="17" thickBot="1" x14ac:dyDescent="0.25">
      <c r="A24" s="312" t="s">
        <v>176</v>
      </c>
      <c r="B24" s="190"/>
      <c r="C24" s="311"/>
      <c r="D24" s="190"/>
      <c r="E24" s="190"/>
      <c r="F24" s="190"/>
      <c r="G24" s="190"/>
      <c r="H24" s="190"/>
      <c r="I24" s="190"/>
      <c r="J24" s="189"/>
    </row>
  </sheetData>
  <mergeCells count="2">
    <mergeCell ref="L12:R13"/>
    <mergeCell ref="L16:R1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55E31-0623-C243-9113-542645D499BB}">
  <dimension ref="A1:S31"/>
  <sheetViews>
    <sheetView workbookViewId="0"/>
  </sheetViews>
  <sheetFormatPr baseColWidth="10" defaultColWidth="11" defaultRowHeight="16" outlineLevelCol="1" x14ac:dyDescent="0.2"/>
  <cols>
    <col min="1" max="1" width="4" style="252" customWidth="1"/>
    <col min="2" max="2" width="11.5" customWidth="1"/>
    <col min="4" max="4" width="12.5" customWidth="1"/>
    <col min="12" max="12" width="13.83203125" hidden="1" customWidth="1" outlineLevel="1"/>
    <col min="13" max="13" width="14.6640625" hidden="1" customWidth="1" outlineLevel="1"/>
    <col min="14" max="14" width="10.83203125" hidden="1" customWidth="1" outlineLevel="1"/>
    <col min="15" max="15" width="10.6640625" hidden="1" customWidth="1" outlineLevel="1"/>
    <col min="16" max="16" width="10.83203125" hidden="1" customWidth="1" outlineLevel="1"/>
    <col min="17" max="17" width="11.83203125" hidden="1" customWidth="1" outlineLevel="1"/>
    <col min="18" max="18" width="10.83203125" hidden="1" customWidth="1" outlineLevel="1"/>
    <col min="19" max="19" width="11" collapsed="1"/>
  </cols>
  <sheetData>
    <row r="1" spans="1:17" x14ac:dyDescent="0.2">
      <c r="A1" s="347"/>
      <c r="B1" s="226" t="s">
        <v>433</v>
      </c>
      <c r="C1" s="225" t="s">
        <v>677</v>
      </c>
      <c r="D1" s="225" t="s">
        <v>431</v>
      </c>
      <c r="E1" s="225" t="s">
        <v>657</v>
      </c>
      <c r="F1" s="224"/>
      <c r="G1" s="224"/>
      <c r="H1" s="224"/>
      <c r="I1" s="224"/>
      <c r="J1" s="223"/>
      <c r="K1" s="188" t="s">
        <v>177</v>
      </c>
      <c r="L1" s="188"/>
    </row>
    <row r="2" spans="1:17" x14ac:dyDescent="0.2">
      <c r="A2" s="298"/>
      <c r="B2" s="346" t="s">
        <v>429</v>
      </c>
      <c r="C2" s="345">
        <v>2.5</v>
      </c>
      <c r="D2" s="195"/>
      <c r="E2" s="195"/>
      <c r="F2" s="195"/>
      <c r="G2" s="195"/>
      <c r="H2" s="195"/>
      <c r="I2" s="195"/>
      <c r="J2" s="194"/>
    </row>
    <row r="3" spans="1:17" x14ac:dyDescent="0.2">
      <c r="A3" s="298"/>
      <c r="B3" s="195"/>
      <c r="C3" s="195"/>
      <c r="D3" s="195"/>
      <c r="E3" s="195"/>
      <c r="F3" s="195"/>
      <c r="G3" s="195"/>
      <c r="H3" s="195"/>
      <c r="I3" s="195"/>
      <c r="J3" s="194"/>
      <c r="L3" s="188" t="s">
        <v>428</v>
      </c>
      <c r="M3" s="254"/>
    </row>
    <row r="4" spans="1:17" x14ac:dyDescent="0.2">
      <c r="A4" s="298"/>
      <c r="B4" s="195"/>
      <c r="C4" s="195" t="s">
        <v>703</v>
      </c>
      <c r="D4" s="195"/>
      <c r="E4" s="195"/>
      <c r="F4" s="195"/>
      <c r="G4" s="195"/>
      <c r="H4" s="195"/>
      <c r="I4" s="195"/>
      <c r="J4" s="194"/>
      <c r="M4" s="254"/>
    </row>
    <row r="5" spans="1:17" x14ac:dyDescent="0.2">
      <c r="A5" s="298"/>
      <c r="B5" s="195"/>
      <c r="C5" s="195"/>
      <c r="D5" s="195"/>
      <c r="E5" s="195"/>
      <c r="F5" s="195"/>
      <c r="G5" s="195"/>
      <c r="H5" s="195"/>
      <c r="I5" s="195"/>
      <c r="J5" s="194"/>
      <c r="L5" s="185" t="s">
        <v>17</v>
      </c>
      <c r="M5" s="241" t="s">
        <v>425</v>
      </c>
      <c r="N5" s="186" t="s">
        <v>251</v>
      </c>
      <c r="O5" s="186" t="s">
        <v>250</v>
      </c>
      <c r="P5" s="186" t="s">
        <v>249</v>
      </c>
      <c r="Q5" s="186" t="s">
        <v>702</v>
      </c>
    </row>
    <row r="6" spans="1:17" ht="16" customHeight="1" x14ac:dyDescent="0.2">
      <c r="A6" s="298"/>
      <c r="B6" s="195"/>
      <c r="C6" s="460" t="s">
        <v>701</v>
      </c>
      <c r="D6" s="459" t="s">
        <v>700</v>
      </c>
      <c r="E6" s="483" t="s">
        <v>699</v>
      </c>
      <c r="F6" s="482"/>
      <c r="G6" s="481"/>
      <c r="H6" s="195"/>
      <c r="I6" s="195"/>
      <c r="J6" s="194"/>
      <c r="L6" s="182">
        <v>2016</v>
      </c>
      <c r="M6" s="329">
        <f>D9</f>
        <v>13000</v>
      </c>
      <c r="N6" s="329">
        <f>G9</f>
        <v>2850</v>
      </c>
      <c r="O6" s="178">
        <v>30</v>
      </c>
      <c r="P6" s="449">
        <f>O6^$D$15/(O6^$D$15+$D$16^$D$15)</f>
        <v>0.33599383631210572</v>
      </c>
      <c r="Q6" s="329">
        <f>M6*P6</f>
        <v>4367.9198720573741</v>
      </c>
    </row>
    <row r="7" spans="1:17" x14ac:dyDescent="0.2">
      <c r="A7" s="298"/>
      <c r="B7" s="195"/>
      <c r="C7" s="456"/>
      <c r="D7" s="455"/>
      <c r="E7" s="480"/>
      <c r="F7" s="455"/>
      <c r="G7" s="454"/>
      <c r="H7" s="195"/>
      <c r="I7" s="195"/>
      <c r="J7" s="194"/>
      <c r="L7" s="182">
        <v>2017</v>
      </c>
      <c r="M7" s="329">
        <f>D10</f>
        <v>13250</v>
      </c>
      <c r="N7" s="329">
        <f>F10</f>
        <v>1375</v>
      </c>
      <c r="O7" s="178">
        <v>18</v>
      </c>
      <c r="P7" s="449">
        <f>O7^$D$15/(O7^$D$15+$D$16^$D$15)</f>
        <v>0.19452458575426002</v>
      </c>
      <c r="Q7" s="329">
        <f>M7*P7</f>
        <v>2577.4507612439452</v>
      </c>
    </row>
    <row r="8" spans="1:17" x14ac:dyDescent="0.2">
      <c r="A8" s="298"/>
      <c r="B8" s="195"/>
      <c r="C8" s="452"/>
      <c r="D8" s="451"/>
      <c r="E8" s="271">
        <v>12</v>
      </c>
      <c r="F8" s="270">
        <v>24</v>
      </c>
      <c r="G8" s="279">
        <v>36</v>
      </c>
      <c r="H8" s="195"/>
      <c r="I8" s="195"/>
      <c r="J8" s="194"/>
      <c r="L8" s="182">
        <v>2018</v>
      </c>
      <c r="M8" s="329">
        <f>D11</f>
        <v>13500</v>
      </c>
      <c r="N8" s="178">
        <f>E11</f>
        <v>350</v>
      </c>
      <c r="O8" s="178">
        <v>6</v>
      </c>
      <c r="P8" s="449">
        <f>O8^$D$15/(O8^$D$15+$D$16^$D$15)</f>
        <v>4.6901673641240794E-2</v>
      </c>
      <c r="Q8" s="329">
        <f>M8*P8</f>
        <v>633.17259415675073</v>
      </c>
    </row>
    <row r="9" spans="1:17" x14ac:dyDescent="0.2">
      <c r="A9" s="298"/>
      <c r="B9" s="195"/>
      <c r="C9" s="221">
        <v>2016</v>
      </c>
      <c r="D9" s="267">
        <v>13000</v>
      </c>
      <c r="E9" s="214">
        <v>360</v>
      </c>
      <c r="F9" s="215">
        <v>1425</v>
      </c>
      <c r="G9" s="268">
        <v>2850</v>
      </c>
      <c r="H9" s="195"/>
      <c r="I9" s="195"/>
      <c r="J9" s="194"/>
    </row>
    <row r="10" spans="1:17" x14ac:dyDescent="0.2">
      <c r="A10" s="298"/>
      <c r="B10" s="195"/>
      <c r="C10" s="221">
        <v>2017</v>
      </c>
      <c r="D10" s="264">
        <v>13250</v>
      </c>
      <c r="E10" s="214">
        <v>375</v>
      </c>
      <c r="F10" s="215">
        <v>1375</v>
      </c>
      <c r="G10" s="342"/>
      <c r="H10" s="195"/>
      <c r="I10" s="195"/>
      <c r="J10" s="194"/>
      <c r="L10" t="s">
        <v>47</v>
      </c>
      <c r="M10" s="479">
        <f>SUM(N6:N8)/SUM(Q6:Q8)</f>
        <v>0.60367802395375492</v>
      </c>
    </row>
    <row r="11" spans="1:17" ht="17" thickBot="1" x14ac:dyDescent="0.25">
      <c r="A11" s="298"/>
      <c r="B11" s="195"/>
      <c r="C11" s="218">
        <v>2018</v>
      </c>
      <c r="D11" s="261">
        <v>13500</v>
      </c>
      <c r="E11" s="209">
        <v>350</v>
      </c>
      <c r="F11" s="209"/>
      <c r="G11" s="208"/>
      <c r="H11" s="195"/>
      <c r="I11" s="195"/>
      <c r="J11" s="194"/>
    </row>
    <row r="12" spans="1:17" ht="19" thickBot="1" x14ac:dyDescent="0.3">
      <c r="A12" s="298"/>
      <c r="B12" s="195"/>
      <c r="C12" s="195"/>
      <c r="D12" s="195"/>
      <c r="E12" s="195"/>
      <c r="F12" s="195"/>
      <c r="G12" s="195"/>
      <c r="H12" s="195"/>
      <c r="I12" s="195"/>
      <c r="J12" s="194"/>
      <c r="L12" s="177" t="s">
        <v>698</v>
      </c>
      <c r="M12" s="242"/>
      <c r="N12" s="323">
        <f>M10*M8*(P8-0)</f>
        <v>382.23238046222014</v>
      </c>
      <c r="O12" t="s">
        <v>697</v>
      </c>
    </row>
    <row r="13" spans="1:17" ht="18" customHeight="1" thickBot="1" x14ac:dyDescent="0.25">
      <c r="A13" s="298"/>
      <c r="B13" s="195"/>
      <c r="C13" s="195" t="s">
        <v>696</v>
      </c>
      <c r="D13" s="195"/>
      <c r="E13" s="195"/>
      <c r="F13" s="195"/>
      <c r="G13" s="195"/>
      <c r="H13" s="195"/>
      <c r="I13" s="195"/>
      <c r="J13" s="194"/>
      <c r="L13" s="188"/>
      <c r="O13" s="188"/>
    </row>
    <row r="14" spans="1:17" ht="18" customHeight="1" thickBot="1" x14ac:dyDescent="0.25">
      <c r="A14" s="298"/>
      <c r="B14" s="195"/>
      <c r="C14" s="195" t="s">
        <v>695</v>
      </c>
      <c r="D14" s="195"/>
      <c r="E14" s="195"/>
      <c r="F14" s="195"/>
      <c r="G14" s="195"/>
      <c r="H14" s="195"/>
      <c r="I14" s="195"/>
      <c r="J14" s="194"/>
      <c r="L14" s="177" t="s">
        <v>694</v>
      </c>
      <c r="M14" s="242"/>
      <c r="N14" s="478">
        <f>(E11-N12)/(SQRT(E19*N12))</f>
        <v>-8.0160138602675041E-2</v>
      </c>
      <c r="O14" t="s">
        <v>693</v>
      </c>
    </row>
    <row r="15" spans="1:17" x14ac:dyDescent="0.2">
      <c r="A15" s="298"/>
      <c r="B15" s="214"/>
      <c r="C15" s="195" t="s">
        <v>692</v>
      </c>
      <c r="D15" s="259">
        <v>1.448</v>
      </c>
      <c r="E15" s="195"/>
      <c r="F15" s="195"/>
      <c r="G15" s="195"/>
      <c r="H15" s="195"/>
      <c r="I15" s="195"/>
      <c r="J15" s="194"/>
    </row>
    <row r="16" spans="1:17" x14ac:dyDescent="0.2">
      <c r="A16" s="298"/>
      <c r="B16" s="214"/>
      <c r="C16" s="195" t="s">
        <v>691</v>
      </c>
      <c r="D16" s="259">
        <v>48.021000000000001</v>
      </c>
      <c r="E16" s="195"/>
      <c r="F16" s="195"/>
      <c r="G16" s="195"/>
      <c r="H16" s="195"/>
      <c r="I16" s="195"/>
      <c r="J16" s="194"/>
      <c r="L16" s="188" t="s">
        <v>409</v>
      </c>
    </row>
    <row r="17" spans="1:14" x14ac:dyDescent="0.2">
      <c r="A17" s="298"/>
      <c r="B17" s="214"/>
      <c r="C17" s="195" t="s">
        <v>690</v>
      </c>
      <c r="D17" s="195"/>
      <c r="E17" s="195"/>
      <c r="F17" s="195"/>
      <c r="G17" s="195"/>
      <c r="H17" s="195"/>
      <c r="I17" s="195"/>
      <c r="J17" s="194"/>
    </row>
    <row r="18" spans="1:14" x14ac:dyDescent="0.2">
      <c r="A18" s="298"/>
      <c r="B18" s="214"/>
      <c r="C18" s="195" t="s">
        <v>689</v>
      </c>
      <c r="D18" s="195"/>
      <c r="E18" s="195"/>
      <c r="F18" s="195"/>
      <c r="G18" s="195"/>
      <c r="H18" s="195"/>
      <c r="I18" s="195"/>
      <c r="J18" s="194"/>
      <c r="L18" t="s">
        <v>688</v>
      </c>
    </row>
    <row r="19" spans="1:14" ht="19" x14ac:dyDescent="0.2">
      <c r="A19" s="298"/>
      <c r="B19" s="214"/>
      <c r="C19" s="195" t="s">
        <v>687</v>
      </c>
      <c r="D19" s="195"/>
      <c r="E19" s="214">
        <v>423</v>
      </c>
      <c r="F19" s="195"/>
      <c r="G19" s="195"/>
      <c r="H19" s="195"/>
      <c r="I19" s="195"/>
      <c r="J19" s="194"/>
    </row>
    <row r="20" spans="1:14" x14ac:dyDescent="0.2">
      <c r="A20" s="298"/>
      <c r="B20" s="214"/>
      <c r="C20" s="195"/>
      <c r="D20" s="195"/>
      <c r="E20" s="195"/>
      <c r="F20" s="195"/>
      <c r="G20" s="195"/>
      <c r="H20" s="195"/>
      <c r="I20" s="195"/>
      <c r="J20" s="194"/>
      <c r="L20" t="s">
        <v>414</v>
      </c>
      <c r="M20" s="178">
        <v>114</v>
      </c>
    </row>
    <row r="21" spans="1:14" ht="18" x14ac:dyDescent="0.25">
      <c r="A21" s="298" t="s">
        <v>0</v>
      </c>
      <c r="B21" s="259" t="s">
        <v>686</v>
      </c>
      <c r="C21" s="195" t="s">
        <v>685</v>
      </c>
      <c r="D21" s="195"/>
      <c r="E21" s="195"/>
      <c r="F21" s="195"/>
      <c r="G21" s="195"/>
      <c r="H21" s="195"/>
      <c r="I21" s="195"/>
      <c r="J21" s="194"/>
      <c r="L21" t="s">
        <v>412</v>
      </c>
      <c r="M21" s="449">
        <f>M20^$D$15/(M20^$D$15+$D$16^$D$15)</f>
        <v>0.77762563483392433</v>
      </c>
    </row>
    <row r="22" spans="1:14" ht="18" x14ac:dyDescent="0.25">
      <c r="A22" s="298"/>
      <c r="B22" s="214"/>
      <c r="C22" s="195" t="s">
        <v>684</v>
      </c>
      <c r="D22" s="195"/>
      <c r="E22" s="195"/>
      <c r="F22" s="195"/>
      <c r="G22" s="195"/>
      <c r="H22" s="195"/>
      <c r="I22" s="195"/>
      <c r="J22" s="194"/>
      <c r="L22" t="s">
        <v>683</v>
      </c>
      <c r="M22" s="449">
        <f>M21-P6</f>
        <v>0.44163179852181861</v>
      </c>
      <c r="N22" s="477"/>
    </row>
    <row r="23" spans="1:14" x14ac:dyDescent="0.2">
      <c r="A23" s="298"/>
      <c r="B23" s="214"/>
      <c r="C23" s="195"/>
      <c r="D23" s="195"/>
      <c r="E23" s="195"/>
      <c r="F23" s="195"/>
      <c r="G23" s="195"/>
      <c r="H23" s="195"/>
      <c r="I23" s="195"/>
      <c r="J23" s="194"/>
    </row>
    <row r="24" spans="1:14" x14ac:dyDescent="0.2">
      <c r="A24" s="298" t="s">
        <v>1</v>
      </c>
      <c r="B24" s="259" t="s">
        <v>521</v>
      </c>
      <c r="C24" s="195" t="s">
        <v>682</v>
      </c>
      <c r="D24" s="195"/>
      <c r="E24" s="195"/>
      <c r="F24" s="195"/>
      <c r="G24" s="195"/>
      <c r="H24" s="195"/>
      <c r="I24" s="195"/>
      <c r="J24" s="194"/>
      <c r="L24" t="s">
        <v>681</v>
      </c>
      <c r="M24" s="329">
        <f>M10*M6*M22</f>
        <v>3465.8443488083253</v>
      </c>
      <c r="N24" t="s">
        <v>680</v>
      </c>
    </row>
    <row r="25" spans="1:14" ht="17" thickBot="1" x14ac:dyDescent="0.25">
      <c r="A25" s="298"/>
      <c r="B25" s="195"/>
      <c r="C25" s="195"/>
      <c r="D25" s="195"/>
      <c r="E25" s="195"/>
      <c r="F25" s="195"/>
      <c r="G25" s="195"/>
      <c r="H25" s="195"/>
      <c r="I25" s="195"/>
      <c r="J25" s="194"/>
      <c r="N25" s="329"/>
    </row>
    <row r="26" spans="1:14" ht="17" thickBot="1" x14ac:dyDescent="0.25">
      <c r="A26" s="312" t="s">
        <v>176</v>
      </c>
      <c r="B26" s="190"/>
      <c r="C26" s="311"/>
      <c r="D26" s="190"/>
      <c r="E26" s="190"/>
      <c r="F26" s="190"/>
      <c r="G26" s="190"/>
      <c r="H26" s="190"/>
      <c r="I26" s="190"/>
      <c r="J26" s="189"/>
      <c r="L26" s="177" t="s">
        <v>679</v>
      </c>
      <c r="M26" s="323">
        <f>M24+G9</f>
        <v>6315.8443488083249</v>
      </c>
    </row>
    <row r="27" spans="1:14" x14ac:dyDescent="0.2">
      <c r="L27" s="188"/>
      <c r="M27" s="310"/>
    </row>
    <row r="29" spans="1:14" ht="19" x14ac:dyDescent="0.25">
      <c r="L29" s="174" t="s">
        <v>220</v>
      </c>
    </row>
    <row r="30" spans="1:14" x14ac:dyDescent="0.2">
      <c r="L30" t="s">
        <v>223</v>
      </c>
    </row>
    <row r="31" spans="1:14" x14ac:dyDescent="0.2">
      <c r="L31" t="s">
        <v>678</v>
      </c>
    </row>
  </sheetData>
  <mergeCells count="3">
    <mergeCell ref="C6:C8"/>
    <mergeCell ref="D6:D8"/>
    <mergeCell ref="E6:G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CE148-A74E-734C-AE16-B8B29AECEEC2}">
  <dimension ref="A1:BM188"/>
  <sheetViews>
    <sheetView zoomScaleNormal="100" workbookViewId="0"/>
  </sheetViews>
  <sheetFormatPr baseColWidth="10" defaultColWidth="10.83203125" defaultRowHeight="16" outlineLevelCol="1" x14ac:dyDescent="0.2"/>
  <cols>
    <col min="1" max="1" width="4.6640625" style="36" customWidth="1"/>
    <col min="2" max="7" width="10.83203125" style="36"/>
    <col min="8" max="8" width="12.5" style="36" customWidth="1"/>
    <col min="9" max="10" width="10.83203125" style="36"/>
    <col min="11" max="11" width="11.5" style="36" bestFit="1" customWidth="1"/>
    <col min="12" max="21" width="10.83203125" style="36" hidden="1" customWidth="1" outlineLevel="1"/>
    <col min="22" max="22" width="10.83203125" style="36" collapsed="1"/>
    <col min="23" max="16384" width="10.83203125" style="36"/>
  </cols>
  <sheetData>
    <row r="1" spans="1:20" ht="19" x14ac:dyDescent="0.25">
      <c r="A1" s="1" t="s">
        <v>195</v>
      </c>
      <c r="B1" s="19"/>
      <c r="C1" s="33"/>
      <c r="D1" s="33"/>
      <c r="E1" s="33"/>
      <c r="F1" s="34"/>
      <c r="G1" s="34"/>
      <c r="H1" s="34"/>
      <c r="I1" s="34"/>
      <c r="J1" s="35"/>
      <c r="K1" s="3" t="s">
        <v>177</v>
      </c>
    </row>
    <row r="2" spans="1:20" x14ac:dyDescent="0.2">
      <c r="A2" s="2"/>
      <c r="B2" s="34"/>
      <c r="C2" s="34"/>
      <c r="D2" s="34"/>
      <c r="E2" s="34"/>
      <c r="F2" s="34"/>
      <c r="G2" s="34"/>
      <c r="H2" s="34"/>
      <c r="I2" s="34"/>
      <c r="J2" s="35"/>
      <c r="L2" s="7" t="s">
        <v>50</v>
      </c>
      <c r="M2" s="38"/>
    </row>
    <row r="3" spans="1:20" x14ac:dyDescent="0.2">
      <c r="A3" s="2"/>
      <c r="B3" s="34" t="s">
        <v>39</v>
      </c>
      <c r="C3" s="34"/>
      <c r="D3" s="34"/>
      <c r="E3" s="34"/>
      <c r="F3" s="34"/>
      <c r="G3" s="34"/>
      <c r="H3" s="34"/>
      <c r="I3" s="34"/>
      <c r="J3" s="35"/>
      <c r="L3" s="7"/>
      <c r="M3" s="38"/>
    </row>
    <row r="4" spans="1:20" x14ac:dyDescent="0.2">
      <c r="A4" s="2"/>
      <c r="B4" s="34"/>
      <c r="C4" s="34"/>
      <c r="D4" s="34"/>
      <c r="E4" s="34"/>
      <c r="F4" s="34"/>
      <c r="G4" s="34"/>
      <c r="H4" s="34"/>
      <c r="I4" s="34"/>
      <c r="J4" s="35"/>
      <c r="L4" s="7"/>
      <c r="M4" s="38"/>
      <c r="N4" s="36" t="s">
        <v>48</v>
      </c>
      <c r="O4" s="36">
        <f>12*10-6</f>
        <v>114</v>
      </c>
    </row>
    <row r="5" spans="1:20" x14ac:dyDescent="0.2">
      <c r="A5" s="2"/>
      <c r="B5" s="34"/>
      <c r="C5" s="151" t="s">
        <v>209</v>
      </c>
      <c r="D5" s="151"/>
      <c r="E5" s="151"/>
      <c r="F5" s="151"/>
      <c r="G5" s="34"/>
      <c r="H5" s="34"/>
      <c r="I5" s="34"/>
      <c r="J5" s="35"/>
      <c r="N5" s="36" t="s">
        <v>49</v>
      </c>
      <c r="O5" s="44">
        <f>O4^$D$15/(O4^$D$15+$D$14^$D$15)</f>
        <v>0.91337445491190794</v>
      </c>
      <c r="T5" s="5"/>
    </row>
    <row r="6" spans="1:20" ht="51" x14ac:dyDescent="0.2">
      <c r="A6" s="2"/>
      <c r="B6" s="34"/>
      <c r="C6" s="11" t="s">
        <v>7</v>
      </c>
      <c r="D6" s="12" t="s">
        <v>8</v>
      </c>
      <c r="E6" s="12" t="s">
        <v>9</v>
      </c>
      <c r="F6" s="12" t="s">
        <v>10</v>
      </c>
      <c r="G6" s="34"/>
      <c r="H6" s="71" t="s">
        <v>40</v>
      </c>
      <c r="I6" s="34"/>
      <c r="J6" s="35"/>
      <c r="L6" s="39" t="s">
        <v>17</v>
      </c>
      <c r="M6" s="40" t="s">
        <v>18</v>
      </c>
      <c r="N6" s="40" t="s">
        <v>19</v>
      </c>
      <c r="O6" s="40" t="s">
        <v>20</v>
      </c>
      <c r="P6" s="40" t="s">
        <v>43</v>
      </c>
      <c r="Q6" s="41" t="s">
        <v>44</v>
      </c>
      <c r="R6" s="40" t="s">
        <v>45</v>
      </c>
      <c r="S6" s="41" t="s">
        <v>46</v>
      </c>
      <c r="T6" s="36" t="s">
        <v>23</v>
      </c>
    </row>
    <row r="7" spans="1:20" x14ac:dyDescent="0.2">
      <c r="A7" s="2"/>
      <c r="B7" s="34"/>
      <c r="C7" s="10">
        <v>2014</v>
      </c>
      <c r="D7" s="6">
        <v>430</v>
      </c>
      <c r="E7" s="6">
        <v>160</v>
      </c>
      <c r="F7" s="6">
        <v>30</v>
      </c>
      <c r="G7" s="34"/>
      <c r="H7" s="62">
        <v>930</v>
      </c>
      <c r="I7" s="34"/>
      <c r="J7" s="35"/>
      <c r="L7" s="74">
        <f>C7</f>
        <v>2014</v>
      </c>
      <c r="M7" s="75">
        <f>M8+12</f>
        <v>36</v>
      </c>
      <c r="N7" s="75">
        <f>M7-6</f>
        <v>30</v>
      </c>
      <c r="O7" s="76">
        <f>N7^$D$15/(N7^$D$15+$D$14^$D$15)</f>
        <v>0.7837322685009821</v>
      </c>
      <c r="P7" s="91">
        <f>H7</f>
        <v>930</v>
      </c>
      <c r="Q7" s="91">
        <f>P7*O7</f>
        <v>728.87100970591337</v>
      </c>
      <c r="R7" s="76">
        <f>$O$5-O7</f>
        <v>0.12964218641092584</v>
      </c>
      <c r="S7" s="92">
        <f>$R$12*P7</f>
        <v>852.86923983466431</v>
      </c>
      <c r="T7" s="110">
        <f>R7*S7</f>
        <v>110.56783297479016</v>
      </c>
    </row>
    <row r="8" spans="1:20" x14ac:dyDescent="0.2">
      <c r="A8" s="2"/>
      <c r="B8" s="34"/>
      <c r="C8" s="10">
        <v>2015</v>
      </c>
      <c r="D8" s="6">
        <v>460</v>
      </c>
      <c r="E8" s="6">
        <v>220</v>
      </c>
      <c r="F8" s="6"/>
      <c r="G8" s="34"/>
      <c r="H8" s="89">
        <v>1020</v>
      </c>
      <c r="I8" s="34"/>
      <c r="J8" s="35"/>
      <c r="L8" s="42">
        <f>C8</f>
        <v>2015</v>
      </c>
      <c r="M8" s="43">
        <f t="shared" ref="M8" si="0">M9+12</f>
        <v>24</v>
      </c>
      <c r="N8" s="43">
        <f t="shared" ref="N8" si="1">M8-6</f>
        <v>18</v>
      </c>
      <c r="O8" s="44">
        <f t="shared" ref="O8:O9" si="2">N8^$D$15/(N8^$D$15+$D$14^$D$15)</f>
        <v>0.70659211397688615</v>
      </c>
      <c r="P8" s="83">
        <f>H8</f>
        <v>1020</v>
      </c>
      <c r="Q8" s="83">
        <f t="shared" ref="Q8:Q9" si="3">P8*O8</f>
        <v>720.72395625642389</v>
      </c>
      <c r="R8" s="44">
        <f>$O$5-O8</f>
        <v>0.20678234093502179</v>
      </c>
      <c r="S8" s="90">
        <f>$R$12*P8</f>
        <v>935.40497272188986</v>
      </c>
      <c r="T8" s="48">
        <f t="shared" ref="T8:T9" si="4">R8*S8</f>
        <v>193.42522998169258</v>
      </c>
    </row>
    <row r="9" spans="1:20" x14ac:dyDescent="0.2">
      <c r="A9" s="2"/>
      <c r="B9" s="34"/>
      <c r="C9" s="10">
        <v>2016</v>
      </c>
      <c r="D9" s="6">
        <v>520</v>
      </c>
      <c r="E9" s="6"/>
      <c r="F9" s="6"/>
      <c r="G9" s="34"/>
      <c r="H9" s="89">
        <v>1070</v>
      </c>
      <c r="I9" s="34"/>
      <c r="J9" s="35"/>
      <c r="L9" s="77">
        <f>C9</f>
        <v>2016</v>
      </c>
      <c r="M9" s="40">
        <v>12</v>
      </c>
      <c r="N9" s="78">
        <f>M9-6</f>
        <v>6</v>
      </c>
      <c r="O9" s="79">
        <f t="shared" si="2"/>
        <v>0.5</v>
      </c>
      <c r="P9" s="94">
        <f>H9</f>
        <v>1070</v>
      </c>
      <c r="Q9" s="94">
        <f t="shared" si="3"/>
        <v>535</v>
      </c>
      <c r="R9" s="79">
        <f>$O$5-O9</f>
        <v>0.41337445491190794</v>
      </c>
      <c r="S9" s="95">
        <f>$R$12*P9</f>
        <v>981.25815765923733</v>
      </c>
      <c r="T9" s="96">
        <f t="shared" si="4"/>
        <v>405.62705605025025</v>
      </c>
    </row>
    <row r="10" spans="1:20" x14ac:dyDescent="0.2">
      <c r="A10" s="2"/>
      <c r="B10" s="34"/>
      <c r="C10" s="34"/>
      <c r="D10" s="34"/>
      <c r="E10" s="34"/>
      <c r="F10" s="34"/>
      <c r="G10" s="34"/>
      <c r="H10" s="34"/>
      <c r="I10" s="34"/>
      <c r="J10" s="35"/>
      <c r="L10" s="57"/>
      <c r="Q10" s="46">
        <f t="shared" ref="Q10" si="5">SUM(Q7:Q9)</f>
        <v>1984.5949659623373</v>
      </c>
      <c r="S10" s="45"/>
      <c r="T10" s="8">
        <f>SUM(T7:T9)</f>
        <v>709.62011900673292</v>
      </c>
    </row>
    <row r="11" spans="1:20" x14ac:dyDescent="0.2">
      <c r="A11" s="2"/>
      <c r="B11" s="34"/>
      <c r="C11" s="34"/>
      <c r="D11" s="34"/>
      <c r="E11" s="34"/>
      <c r="F11" s="34"/>
      <c r="G11" s="34"/>
      <c r="H11" s="34"/>
      <c r="I11" s="34"/>
      <c r="J11" s="35"/>
    </row>
    <row r="12" spans="1:20" x14ac:dyDescent="0.2">
      <c r="A12" s="2"/>
      <c r="B12" s="34" t="s">
        <v>41</v>
      </c>
      <c r="C12" s="34"/>
      <c r="D12" s="34"/>
      <c r="E12" s="34"/>
      <c r="F12" s="34"/>
      <c r="G12" s="34"/>
      <c r="H12" s="34"/>
      <c r="I12" s="34"/>
      <c r="J12" s="35"/>
      <c r="Q12" s="43" t="s">
        <v>47</v>
      </c>
      <c r="R12" s="44">
        <f>SUM(D7:F9)/Q10</f>
        <v>0.91706369874695082</v>
      </c>
    </row>
    <row r="13" spans="1:20" x14ac:dyDescent="0.2">
      <c r="A13" s="2"/>
      <c r="B13" s="34"/>
      <c r="C13" s="34"/>
      <c r="D13" s="34"/>
      <c r="E13" s="34"/>
      <c r="F13" s="34"/>
      <c r="G13" s="34"/>
      <c r="H13" s="34"/>
      <c r="I13" s="34"/>
      <c r="J13" s="35"/>
    </row>
    <row r="14" spans="1:20" x14ac:dyDescent="0.2">
      <c r="A14" s="2"/>
      <c r="B14" s="34"/>
      <c r="C14" s="61" t="s">
        <v>13</v>
      </c>
      <c r="D14" s="62">
        <v>6</v>
      </c>
      <c r="E14" s="34"/>
      <c r="F14" s="34"/>
      <c r="G14" s="34"/>
      <c r="H14" s="34"/>
      <c r="I14" s="34"/>
      <c r="J14" s="35"/>
    </row>
    <row r="15" spans="1:20" x14ac:dyDescent="0.2">
      <c r="A15" s="2"/>
      <c r="B15" s="34"/>
      <c r="C15" s="61" t="s">
        <v>14</v>
      </c>
      <c r="D15" s="62">
        <v>0.8</v>
      </c>
      <c r="E15" s="34"/>
      <c r="F15" s="34"/>
      <c r="G15" s="34"/>
      <c r="H15" s="34"/>
      <c r="I15" s="34"/>
      <c r="J15" s="35"/>
      <c r="L15" s="7" t="s">
        <v>24</v>
      </c>
      <c r="R15" s="7" t="s">
        <v>30</v>
      </c>
    </row>
    <row r="16" spans="1:20" x14ac:dyDescent="0.2">
      <c r="A16" s="2"/>
      <c r="B16" s="34"/>
      <c r="C16" s="34"/>
      <c r="D16" s="34"/>
      <c r="E16" s="34"/>
      <c r="F16" s="34"/>
      <c r="G16" s="34"/>
      <c r="H16" s="34"/>
      <c r="I16" s="34"/>
      <c r="J16" s="35"/>
      <c r="L16" s="9"/>
    </row>
    <row r="17" spans="1:21" ht="17" x14ac:dyDescent="0.2">
      <c r="A17" s="2"/>
      <c r="B17" s="98" t="s">
        <v>185</v>
      </c>
      <c r="C17" s="34"/>
      <c r="D17" s="34"/>
      <c r="E17" s="34"/>
      <c r="F17" s="34"/>
      <c r="G17" s="65">
        <v>90000</v>
      </c>
      <c r="H17" s="34"/>
      <c r="I17" s="34"/>
      <c r="J17" s="35"/>
      <c r="L17" s="58" t="s">
        <v>17</v>
      </c>
      <c r="M17" s="40">
        <v>12</v>
      </c>
      <c r="N17" s="40">
        <v>24</v>
      </c>
      <c r="O17" s="40">
        <v>36</v>
      </c>
      <c r="P17" s="43" t="s">
        <v>51</v>
      </c>
      <c r="R17" s="59" t="s">
        <v>17</v>
      </c>
      <c r="S17" s="60">
        <v>12</v>
      </c>
      <c r="T17" s="60">
        <v>24</v>
      </c>
      <c r="U17" s="60">
        <v>36</v>
      </c>
    </row>
    <row r="18" spans="1:21" x14ac:dyDescent="0.2">
      <c r="A18" s="2"/>
      <c r="B18" s="98" t="s">
        <v>186</v>
      </c>
      <c r="C18" s="34"/>
      <c r="D18" s="34"/>
      <c r="E18" s="34"/>
      <c r="F18" s="34"/>
      <c r="G18" s="34"/>
      <c r="H18" s="34"/>
      <c r="I18" s="34"/>
      <c r="J18" s="35"/>
      <c r="L18" s="63">
        <f>C7</f>
        <v>2014</v>
      </c>
      <c r="M18" s="48">
        <f>$P18*M$22</f>
        <v>426.43461991733216</v>
      </c>
      <c r="N18" s="48">
        <f>$P18*N$22</f>
        <v>176.19605920330321</v>
      </c>
      <c r="O18" s="48">
        <f>$P18*O$22</f>
        <v>65.790464949694254</v>
      </c>
      <c r="P18" s="64">
        <f>S7</f>
        <v>852.86923983466431</v>
      </c>
      <c r="R18" s="30">
        <f>C7</f>
        <v>2014</v>
      </c>
      <c r="S18" s="29">
        <f>D7</f>
        <v>430</v>
      </c>
      <c r="T18" s="29">
        <f>E7</f>
        <v>160</v>
      </c>
      <c r="U18" s="29">
        <f>F7</f>
        <v>30</v>
      </c>
    </row>
    <row r="19" spans="1:21" x14ac:dyDescent="0.2">
      <c r="A19" s="2"/>
      <c r="B19" s="34"/>
      <c r="C19" s="34"/>
      <c r="D19" s="34"/>
      <c r="E19" s="34"/>
      <c r="F19" s="34"/>
      <c r="G19" s="34"/>
      <c r="H19" s="34"/>
      <c r="I19" s="34"/>
      <c r="J19" s="35"/>
      <c r="L19" s="63">
        <f>C8</f>
        <v>2015</v>
      </c>
      <c r="M19" s="48">
        <f>$P19*M$22</f>
        <v>467.70248636094493</v>
      </c>
      <c r="N19" s="48">
        <f>$P19*N$22</f>
        <v>193.24729073910675</v>
      </c>
      <c r="O19" s="48"/>
      <c r="P19" s="64">
        <f t="shared" ref="P19:P20" si="6">S8</f>
        <v>935.40497272188986</v>
      </c>
      <c r="R19" s="30">
        <f>C8</f>
        <v>2015</v>
      </c>
      <c r="S19" s="29">
        <f>D8</f>
        <v>460</v>
      </c>
      <c r="T19" s="29">
        <f>E8</f>
        <v>220</v>
      </c>
    </row>
    <row r="20" spans="1:21" x14ac:dyDescent="0.2">
      <c r="A20" s="2"/>
      <c r="B20" s="34" t="s">
        <v>42</v>
      </c>
      <c r="C20" s="34"/>
      <c r="D20" s="34"/>
      <c r="E20" s="34"/>
      <c r="F20" s="34"/>
      <c r="G20" s="34"/>
      <c r="H20" s="34"/>
      <c r="I20" s="34"/>
      <c r="J20" s="35"/>
      <c r="L20" s="63">
        <f>C9</f>
        <v>2016</v>
      </c>
      <c r="M20" s="48">
        <f>$P20*M$22</f>
        <v>490.62907882961866</v>
      </c>
      <c r="N20" s="48"/>
      <c r="O20" s="48"/>
      <c r="P20" s="64">
        <f t="shared" si="6"/>
        <v>981.25815765923733</v>
      </c>
      <c r="R20" s="30">
        <f>C9</f>
        <v>2016</v>
      </c>
      <c r="S20" s="29">
        <f>D9</f>
        <v>520</v>
      </c>
      <c r="T20" s="29"/>
    </row>
    <row r="21" spans="1:21" x14ac:dyDescent="0.2">
      <c r="A21" s="2"/>
      <c r="B21" s="34"/>
      <c r="C21" s="34"/>
      <c r="D21" s="34"/>
      <c r="E21" s="34"/>
      <c r="F21" s="34"/>
      <c r="G21" s="34"/>
      <c r="H21" s="34"/>
      <c r="I21" s="34"/>
      <c r="J21" s="35"/>
    </row>
    <row r="22" spans="1:21" ht="17" thickBot="1" x14ac:dyDescent="0.25">
      <c r="A22" s="2"/>
      <c r="B22" s="34"/>
      <c r="C22" s="34"/>
      <c r="D22" s="34"/>
      <c r="E22" s="34"/>
      <c r="F22" s="34"/>
      <c r="G22" s="34"/>
      <c r="H22" s="34"/>
      <c r="I22" s="34"/>
      <c r="J22" s="35"/>
      <c r="L22" s="36" t="s">
        <v>31</v>
      </c>
      <c r="M22" s="44">
        <f>O9</f>
        <v>0.5</v>
      </c>
      <c r="N22" s="44">
        <f>O8-O9</f>
        <v>0.20659211397688615</v>
      </c>
      <c r="O22" s="44">
        <f>O7-O8</f>
        <v>7.714015452409595E-2</v>
      </c>
    </row>
    <row r="23" spans="1:21" ht="17" thickBot="1" x14ac:dyDescent="0.25">
      <c r="A23" s="152" t="s">
        <v>176</v>
      </c>
      <c r="B23" s="153"/>
      <c r="C23" s="153"/>
      <c r="D23" s="153"/>
      <c r="E23" s="153"/>
      <c r="F23" s="153"/>
      <c r="G23" s="153"/>
      <c r="H23" s="153"/>
      <c r="I23" s="153"/>
      <c r="J23" s="154"/>
    </row>
    <row r="25" spans="1:21" ht="19" x14ac:dyDescent="0.25">
      <c r="A25" s="3"/>
      <c r="L25" s="7" t="s">
        <v>26</v>
      </c>
    </row>
    <row r="26" spans="1:21" x14ac:dyDescent="0.2">
      <c r="A26" s="4"/>
    </row>
    <row r="27" spans="1:21" x14ac:dyDescent="0.2">
      <c r="A27" s="4"/>
      <c r="L27" s="58" t="s">
        <v>17</v>
      </c>
      <c r="M27" s="66">
        <v>12</v>
      </c>
      <c r="N27" s="66">
        <v>24</v>
      </c>
      <c r="O27" s="66">
        <v>36</v>
      </c>
    </row>
    <row r="28" spans="1:21" x14ac:dyDescent="0.2">
      <c r="A28" s="4"/>
      <c r="L28" s="63">
        <f>C7</f>
        <v>2014</v>
      </c>
      <c r="M28" s="67">
        <f>(S18-M18)^2/M18</f>
        <v>2.9809810320627513E-2</v>
      </c>
      <c r="N28" s="67">
        <f>(T18-N18)^2/N18</f>
        <v>1.4887525572534761</v>
      </c>
      <c r="O28" s="67">
        <f>(U18-O18)^2/O18</f>
        <v>19.470258833020239</v>
      </c>
    </row>
    <row r="29" spans="1:21" x14ac:dyDescent="0.2">
      <c r="L29" s="63">
        <f>C8</f>
        <v>2015</v>
      </c>
      <c r="M29" s="67">
        <f>(S19-M19)^2/M19</f>
        <v>0.12685050405046733</v>
      </c>
      <c r="N29" s="67">
        <f>(T19-N19)^2/N19</f>
        <v>3.7035833726855385</v>
      </c>
      <c r="O29" s="48"/>
    </row>
    <row r="30" spans="1:21" x14ac:dyDescent="0.2">
      <c r="L30" s="63">
        <f>C9</f>
        <v>2016</v>
      </c>
      <c r="M30" s="67">
        <f>(S20-M20)^2/M20</f>
        <v>1.7582549580114235</v>
      </c>
      <c r="N30" s="48"/>
      <c r="O30" s="48"/>
    </row>
    <row r="32" spans="1:21" x14ac:dyDescent="0.2">
      <c r="L32" s="36" t="s">
        <v>27</v>
      </c>
      <c r="M32" s="36">
        <v>6</v>
      </c>
    </row>
    <row r="33" spans="1:20" x14ac:dyDescent="0.2">
      <c r="A33" s="4"/>
      <c r="L33" s="36" t="s">
        <v>28</v>
      </c>
      <c r="M33" s="36">
        <f>3</f>
        <v>3</v>
      </c>
      <c r="N33" s="68" t="s">
        <v>52</v>
      </c>
    </row>
    <row r="34" spans="1:20" x14ac:dyDescent="0.2">
      <c r="L34" s="36" t="s">
        <v>29</v>
      </c>
      <c r="M34" s="111">
        <f>SUM($M$28:$O$30)/(M32-M33)</f>
        <v>8.8591700117805896</v>
      </c>
    </row>
    <row r="36" spans="1:20" x14ac:dyDescent="0.2">
      <c r="L36" s="7" t="s">
        <v>54</v>
      </c>
    </row>
    <row r="38" spans="1:20" x14ac:dyDescent="0.2">
      <c r="L38" s="36" t="s">
        <v>33</v>
      </c>
      <c r="N38" s="70">
        <f>M34*T10</f>
        <v>6286.6452780606214</v>
      </c>
    </row>
    <row r="39" spans="1:20" x14ac:dyDescent="0.2">
      <c r="L39" s="36" t="s">
        <v>35</v>
      </c>
      <c r="N39" s="70">
        <f>(G17/1000)^2</f>
        <v>8100</v>
      </c>
    </row>
    <row r="41" spans="1:20" ht="17" thickBot="1" x14ac:dyDescent="0.25">
      <c r="L41" s="36" t="s">
        <v>34</v>
      </c>
      <c r="N41" s="112">
        <f>SQRT(N38+N39)</f>
        <v>119.9443424178924</v>
      </c>
      <c r="O41" s="68" t="s">
        <v>36</v>
      </c>
    </row>
    <row r="42" spans="1:20" ht="17" thickBot="1" x14ac:dyDescent="0.25">
      <c r="L42" s="114" t="s">
        <v>53</v>
      </c>
      <c r="M42" s="116"/>
      <c r="N42" s="115">
        <f>N41/T10</f>
        <v>0.16902612990423735</v>
      </c>
    </row>
    <row r="45" spans="1:20" ht="19" x14ac:dyDescent="0.25">
      <c r="A45" s="4"/>
      <c r="L45" s="3" t="s">
        <v>129</v>
      </c>
      <c r="M45" s="38"/>
    </row>
    <row r="46" spans="1:20" x14ac:dyDescent="0.2">
      <c r="L46" s="155" t="s">
        <v>232</v>
      </c>
      <c r="M46" s="155"/>
      <c r="N46" s="155"/>
      <c r="O46" s="155"/>
      <c r="P46" s="155"/>
      <c r="Q46" s="155"/>
      <c r="R46" s="155"/>
      <c r="S46" s="155"/>
      <c r="T46" s="155"/>
    </row>
    <row r="47" spans="1:20" x14ac:dyDescent="0.2">
      <c r="L47" s="155"/>
      <c r="M47" s="155"/>
      <c r="N47" s="155"/>
      <c r="O47" s="155"/>
      <c r="P47" s="155"/>
      <c r="Q47" s="155"/>
      <c r="R47" s="155"/>
      <c r="S47" s="155"/>
      <c r="T47" s="155"/>
    </row>
    <row r="48" spans="1:20" x14ac:dyDescent="0.2">
      <c r="L48" s="155"/>
      <c r="M48" s="155"/>
      <c r="N48" s="155"/>
      <c r="O48" s="155"/>
      <c r="P48" s="155"/>
      <c r="Q48" s="155"/>
      <c r="R48" s="155"/>
      <c r="S48" s="155"/>
      <c r="T48" s="155"/>
    </row>
    <row r="49" spans="12:20" x14ac:dyDescent="0.2">
      <c r="L49" s="155"/>
      <c r="M49" s="155"/>
      <c r="N49" s="155"/>
      <c r="O49" s="155"/>
      <c r="P49" s="155"/>
      <c r="Q49" s="155"/>
      <c r="R49" s="155"/>
      <c r="S49" s="155"/>
      <c r="T49" s="155"/>
    </row>
    <row r="50" spans="12:20" x14ac:dyDescent="0.2">
      <c r="L50" s="5"/>
      <c r="M50" s="5"/>
      <c r="N50" s="5"/>
    </row>
    <row r="51" spans="12:20" x14ac:dyDescent="0.2">
      <c r="L51" s="5"/>
      <c r="M51" s="5"/>
      <c r="N51" s="5"/>
    </row>
    <row r="52" spans="12:20" ht="19" x14ac:dyDescent="0.25">
      <c r="L52" s="3" t="s">
        <v>220</v>
      </c>
      <c r="M52" s="5"/>
      <c r="N52" s="5"/>
    </row>
    <row r="53" spans="12:20" x14ac:dyDescent="0.2">
      <c r="L53" s="113" t="s">
        <v>222</v>
      </c>
      <c r="M53" s="5"/>
      <c r="N53" s="5"/>
    </row>
    <row r="54" spans="12:20" x14ac:dyDescent="0.2">
      <c r="M54" s="38"/>
    </row>
    <row r="55" spans="12:20" x14ac:dyDescent="0.2">
      <c r="L55" s="5"/>
      <c r="M55" s="5"/>
      <c r="N55" s="5"/>
    </row>
    <row r="56" spans="12:20" x14ac:dyDescent="0.2">
      <c r="L56" s="5"/>
      <c r="M56" s="5"/>
      <c r="N56" s="5"/>
    </row>
    <row r="57" spans="12:20" x14ac:dyDescent="0.2">
      <c r="L57" s="5"/>
      <c r="M57" s="5"/>
      <c r="N57" s="5"/>
    </row>
    <row r="58" spans="12:20" x14ac:dyDescent="0.2">
      <c r="L58" s="5"/>
      <c r="M58" s="5"/>
      <c r="N58" s="5"/>
    </row>
    <row r="59" spans="12:20" x14ac:dyDescent="0.2">
      <c r="L59" s="5"/>
      <c r="M59" s="5"/>
      <c r="N59" s="5"/>
    </row>
    <row r="60" spans="12:20" x14ac:dyDescent="0.2">
      <c r="L60" s="5"/>
      <c r="M60" s="5"/>
      <c r="N60" s="5"/>
    </row>
    <row r="61" spans="12:20" x14ac:dyDescent="0.2">
      <c r="L61" s="5"/>
      <c r="M61" s="5"/>
      <c r="N61" s="5"/>
    </row>
    <row r="62" spans="12:20" x14ac:dyDescent="0.2">
      <c r="L62" s="5"/>
      <c r="M62" s="5"/>
      <c r="N62" s="5"/>
    </row>
    <row r="63" spans="12:20" x14ac:dyDescent="0.2">
      <c r="L63" s="5"/>
      <c r="M63" s="5"/>
      <c r="N63" s="5"/>
    </row>
    <row r="64" spans="12:20" x14ac:dyDescent="0.2">
      <c r="L64" s="5"/>
      <c r="M64" s="5"/>
      <c r="N64" s="5"/>
    </row>
    <row r="65" spans="12:14" x14ac:dyDescent="0.2">
      <c r="L65" s="5"/>
      <c r="M65" s="5"/>
      <c r="N65" s="5"/>
    </row>
    <row r="66" spans="12:14" x14ac:dyDescent="0.2">
      <c r="L66" s="5"/>
      <c r="M66" s="5"/>
      <c r="N66" s="5"/>
    </row>
    <row r="67" spans="12:14" x14ac:dyDescent="0.2">
      <c r="L67" s="5"/>
      <c r="M67" s="5"/>
      <c r="N67" s="5"/>
    </row>
    <row r="68" spans="12:14" x14ac:dyDescent="0.2">
      <c r="L68" s="5"/>
      <c r="M68" s="5"/>
      <c r="N68" s="5"/>
    </row>
    <row r="69" spans="12:14" x14ac:dyDescent="0.2">
      <c r="L69" s="5"/>
      <c r="M69" s="5"/>
      <c r="N69" s="5"/>
    </row>
    <row r="70" spans="12:14" x14ac:dyDescent="0.2">
      <c r="L70" s="5"/>
      <c r="M70" s="5"/>
      <c r="N70" s="5"/>
    </row>
    <row r="71" spans="12:14" x14ac:dyDescent="0.2">
      <c r="L71" s="5"/>
      <c r="M71" s="5"/>
      <c r="N71" s="5"/>
    </row>
    <row r="72" spans="12:14" x14ac:dyDescent="0.2">
      <c r="L72" s="5"/>
      <c r="M72" s="5"/>
      <c r="N72" s="5"/>
    </row>
    <row r="73" spans="12:14" x14ac:dyDescent="0.2">
      <c r="L73" s="5"/>
      <c r="M73" s="5"/>
      <c r="N73" s="5"/>
    </row>
    <row r="74" spans="12:14" x14ac:dyDescent="0.2">
      <c r="L74" s="5"/>
      <c r="M74" s="5"/>
      <c r="N74" s="5"/>
    </row>
    <row r="75" spans="12:14" x14ac:dyDescent="0.2">
      <c r="M75" s="38"/>
    </row>
    <row r="76" spans="12:14" x14ac:dyDescent="0.2">
      <c r="L76" s="5"/>
      <c r="M76" s="5"/>
      <c r="N76" s="5"/>
    </row>
    <row r="77" spans="12:14" x14ac:dyDescent="0.2">
      <c r="L77" s="5"/>
      <c r="M77" s="5"/>
      <c r="N77" s="5"/>
    </row>
    <row r="78" spans="12:14" x14ac:dyDescent="0.2">
      <c r="L78" s="5"/>
      <c r="M78" s="5"/>
      <c r="N78" s="5"/>
    </row>
    <row r="79" spans="12:14" x14ac:dyDescent="0.2">
      <c r="L79" s="5"/>
      <c r="M79" s="5"/>
      <c r="N79" s="5"/>
    </row>
    <row r="80" spans="12:14" x14ac:dyDescent="0.2">
      <c r="L80" s="5"/>
      <c r="M80" s="5"/>
      <c r="N80" s="5"/>
    </row>
    <row r="81" spans="1:65" x14ac:dyDescent="0.2">
      <c r="L81" s="5"/>
      <c r="M81" s="5"/>
      <c r="N81" s="5"/>
    </row>
    <row r="82" spans="1:65" x14ac:dyDescent="0.2">
      <c r="L82" s="5"/>
      <c r="M82" s="5"/>
      <c r="N82" s="5"/>
    </row>
    <row r="83" spans="1:65" x14ac:dyDescent="0.2">
      <c r="L83" s="5"/>
      <c r="M83" s="5"/>
      <c r="N83" s="5"/>
    </row>
    <row r="84" spans="1:65" x14ac:dyDescent="0.2">
      <c r="L84" s="5"/>
      <c r="M84" s="5"/>
      <c r="N84" s="5"/>
    </row>
    <row r="85" spans="1:65" x14ac:dyDescent="0.2">
      <c r="M85" s="38"/>
    </row>
    <row r="86" spans="1:65" x14ac:dyDescent="0.2">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row>
    <row r="87" spans="1:65"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row>
    <row r="88" spans="1:65"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row>
    <row r="89" spans="1:65"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row>
    <row r="90" spans="1:65"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row>
    <row r="91" spans="1:65"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row>
    <row r="92" spans="1:65"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row>
    <row r="93" spans="1:65"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row>
    <row r="94" spans="1:65"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row>
    <row r="95" spans="1:65"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row>
    <row r="96" spans="1:65"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row>
    <row r="97" spans="1:65"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row>
    <row r="98" spans="1:65"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row>
    <row r="99" spans="1:65"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row>
    <row r="100" spans="1:65"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row>
    <row r="101" spans="1:65"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row>
    <row r="102" spans="1:65"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row>
    <row r="103" spans="1:65"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row>
    <row r="104" spans="1:65"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row>
    <row r="105" spans="1:65"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row>
    <row r="106" spans="1:65"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row>
    <row r="107" spans="1:65"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row>
    <row r="108" spans="1:65"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row>
    <row r="109" spans="1:65"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row>
    <row r="110" spans="1:65"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row>
    <row r="111" spans="1:65"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row>
    <row r="112" spans="1:65"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row>
    <row r="113" spans="1:65"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row>
    <row r="114" spans="1:65"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row>
    <row r="115" spans="1:65"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row>
    <row r="116" spans="1:65"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row>
    <row r="117" spans="1:65"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row>
    <row r="118" spans="1:65"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row>
    <row r="119" spans="1:65"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row>
    <row r="120" spans="1:65"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row>
    <row r="121" spans="1:65"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row>
    <row r="122" spans="1:65"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row>
    <row r="123" spans="1:65"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row>
    <row r="124" spans="1:65"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row>
    <row r="125" spans="1:65"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row>
    <row r="126" spans="1:65"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row>
    <row r="127" spans="1:65"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row>
    <row r="128" spans="1:65"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row>
    <row r="129" spans="1:65"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row>
    <row r="130" spans="1:65"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row>
    <row r="131" spans="1:65"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row>
    <row r="132" spans="1:65"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row>
    <row r="133" spans="1:65"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row>
    <row r="134" spans="1:65"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row>
    <row r="135" spans="1:65"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row>
    <row r="136" spans="1:65"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row>
    <row r="137" spans="1:65"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row>
    <row r="138" spans="1:65"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row>
    <row r="139" spans="1:65"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row>
    <row r="140" spans="1:65"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row>
    <row r="141" spans="1:65"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row>
    <row r="142" spans="1:65"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row>
    <row r="143" spans="1:65"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row>
    <row r="144" spans="1:65"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row>
    <row r="145" spans="1:65"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row>
    <row r="146" spans="1:65"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row>
    <row r="147" spans="1:65"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row>
    <row r="148" spans="1:65"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row>
    <row r="149" spans="1:65"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row>
    <row r="150" spans="1:6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row>
    <row r="151" spans="1:6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row>
    <row r="152" spans="1:6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row>
    <row r="153" spans="1:6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row>
    <row r="154" spans="1:6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row>
    <row r="155" spans="1:6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row>
    <row r="156" spans="1:6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row>
    <row r="157" spans="1:6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row>
    <row r="158" spans="1:6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row>
    <row r="159" spans="1:6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row>
    <row r="160" spans="1:6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row>
    <row r="161" spans="1:6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row>
    <row r="162" spans="1:6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row>
    <row r="163" spans="1:6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row>
    <row r="164" spans="1:6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row>
    <row r="165" spans="1:6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row>
    <row r="166" spans="1:6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row>
    <row r="167" spans="1:6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row>
    <row r="168" spans="1:6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row>
    <row r="169" spans="1:6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row>
    <row r="170" spans="1:6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row>
    <row r="171" spans="1:6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row>
    <row r="172" spans="1:6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row>
    <row r="173" spans="1:6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row>
    <row r="174" spans="1:6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row>
    <row r="175" spans="1:6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row>
    <row r="176" spans="1:6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row>
    <row r="177" spans="1:6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row>
    <row r="178" spans="1:6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row>
    <row r="179" spans="1:6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row>
    <row r="180" spans="1:65"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row>
    <row r="181" spans="1:65"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row>
    <row r="182" spans="1:65"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row>
    <row r="183" spans="1:65"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row>
    <row r="184" spans="1:65"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row>
    <row r="185" spans="1:65"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row>
    <row r="186" spans="1:65"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row>
    <row r="187" spans="1:65"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row>
    <row r="188" spans="1:65" x14ac:dyDescent="0.2">
      <c r="A188" s="5"/>
      <c r="B188" s="5"/>
      <c r="C188" s="5"/>
      <c r="D188" s="5"/>
      <c r="E188" s="5"/>
      <c r="F188" s="5"/>
      <c r="G188" s="5"/>
      <c r="H188" s="5"/>
      <c r="I188" s="5"/>
      <c r="J188" s="5"/>
    </row>
  </sheetData>
  <mergeCells count="3">
    <mergeCell ref="C5:F5"/>
    <mergeCell ref="A23:J23"/>
    <mergeCell ref="L46:T49"/>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8513E-7C27-8349-B9BA-296D07A7F501}">
  <dimension ref="A1:S19"/>
  <sheetViews>
    <sheetView zoomScaleNormal="100" workbookViewId="0"/>
  </sheetViews>
  <sheetFormatPr baseColWidth="10" defaultColWidth="11" defaultRowHeight="16" outlineLevelCol="1" x14ac:dyDescent="0.2"/>
  <cols>
    <col min="1" max="1" width="4" style="252" customWidth="1"/>
    <col min="2" max="2" width="11.5" customWidth="1"/>
    <col min="12" max="14" width="10.83203125" hidden="1" customWidth="1" outlineLevel="1"/>
    <col min="15" max="15" width="10.6640625" hidden="1" customWidth="1" outlineLevel="1"/>
    <col min="16" max="18" width="10.83203125" hidden="1" customWidth="1" outlineLevel="1"/>
    <col min="19" max="19" width="11" collapsed="1"/>
  </cols>
  <sheetData>
    <row r="1" spans="1:18" x14ac:dyDescent="0.2">
      <c r="A1" s="347"/>
      <c r="B1" s="226" t="s">
        <v>433</v>
      </c>
      <c r="C1" s="225" t="s">
        <v>677</v>
      </c>
      <c r="D1" s="225" t="s">
        <v>431</v>
      </c>
      <c r="E1" s="225" t="s">
        <v>719</v>
      </c>
      <c r="F1" s="224"/>
      <c r="G1" s="224"/>
      <c r="H1" s="224"/>
      <c r="I1" s="224"/>
      <c r="J1" s="223"/>
      <c r="K1" s="188" t="s">
        <v>177</v>
      </c>
      <c r="L1" s="188"/>
    </row>
    <row r="2" spans="1:18" x14ac:dyDescent="0.2">
      <c r="A2" s="298"/>
      <c r="B2" s="346" t="s">
        <v>429</v>
      </c>
      <c r="C2" s="345">
        <v>1.25</v>
      </c>
      <c r="D2" s="195"/>
      <c r="E2" s="195"/>
      <c r="F2" s="195"/>
      <c r="G2" s="195"/>
      <c r="H2" s="195"/>
      <c r="I2" s="195"/>
      <c r="J2" s="194"/>
    </row>
    <row r="3" spans="1:18" x14ac:dyDescent="0.2">
      <c r="A3" s="298"/>
      <c r="B3" s="195"/>
      <c r="C3" s="195"/>
      <c r="D3" s="195"/>
      <c r="E3" s="195"/>
      <c r="F3" s="195"/>
      <c r="G3" s="195"/>
      <c r="H3" s="195"/>
      <c r="I3" s="195"/>
      <c r="J3" s="194"/>
      <c r="L3" s="188" t="s">
        <v>428</v>
      </c>
      <c r="M3" s="254"/>
    </row>
    <row r="4" spans="1:18" x14ac:dyDescent="0.2">
      <c r="A4" s="298" t="s">
        <v>0</v>
      </c>
      <c r="B4" s="195" t="s">
        <v>718</v>
      </c>
      <c r="C4" s="195" t="s">
        <v>717</v>
      </c>
      <c r="D4" s="195"/>
      <c r="E4" s="195"/>
      <c r="F4" s="195"/>
      <c r="G4" s="195"/>
      <c r="H4" s="195"/>
      <c r="I4" s="195"/>
      <c r="J4" s="194"/>
      <c r="L4" s="382" t="s">
        <v>716</v>
      </c>
      <c r="M4" s="382"/>
      <c r="N4" s="382"/>
      <c r="O4" s="382"/>
      <c r="P4" s="382"/>
      <c r="Q4" s="382"/>
      <c r="R4" s="382"/>
    </row>
    <row r="5" spans="1:18" x14ac:dyDescent="0.2">
      <c r="A5" s="298"/>
      <c r="B5" s="195"/>
      <c r="C5" s="195" t="s">
        <v>715</v>
      </c>
      <c r="D5" s="195"/>
      <c r="E5" s="195"/>
      <c r="F5" s="195"/>
      <c r="G5" s="195"/>
      <c r="H5" s="195"/>
      <c r="I5" s="195"/>
      <c r="J5" s="194"/>
      <c r="L5" s="382"/>
      <c r="M5" s="382"/>
      <c r="N5" s="382"/>
      <c r="O5" s="382"/>
      <c r="P5" s="382"/>
      <c r="Q5" s="382"/>
      <c r="R5" s="382"/>
    </row>
    <row r="6" spans="1:18" x14ac:dyDescent="0.2">
      <c r="A6" s="298"/>
      <c r="B6" s="195"/>
      <c r="C6" s="195"/>
      <c r="D6" s="195"/>
      <c r="E6" s="195"/>
      <c r="F6" s="195"/>
      <c r="G6" s="195"/>
      <c r="H6" s="195"/>
      <c r="I6" s="195"/>
      <c r="J6" s="194"/>
      <c r="L6" s="382"/>
      <c r="M6" s="382"/>
      <c r="N6" s="382"/>
      <c r="O6" s="382"/>
      <c r="P6" s="382"/>
      <c r="Q6" s="382"/>
      <c r="R6" s="382"/>
    </row>
    <row r="7" spans="1:18" x14ac:dyDescent="0.2">
      <c r="A7" s="298" t="s">
        <v>1</v>
      </c>
      <c r="B7" s="195" t="s">
        <v>442</v>
      </c>
      <c r="C7" s="195" t="s">
        <v>714</v>
      </c>
      <c r="D7" s="195"/>
      <c r="E7" s="195"/>
      <c r="F7" s="195"/>
      <c r="G7" s="195"/>
      <c r="H7" s="195"/>
      <c r="I7" s="195"/>
      <c r="J7" s="194"/>
    </row>
    <row r="8" spans="1:18" x14ac:dyDescent="0.2">
      <c r="A8" s="298"/>
      <c r="B8" s="195"/>
      <c r="C8" s="195" t="s">
        <v>713</v>
      </c>
      <c r="D8" s="195"/>
      <c r="E8" s="195"/>
      <c r="F8" s="195"/>
      <c r="G8" s="195"/>
      <c r="H8" s="195"/>
      <c r="I8" s="195"/>
      <c r="J8" s="194"/>
      <c r="L8" s="188" t="s">
        <v>409</v>
      </c>
      <c r="M8" s="310"/>
    </row>
    <row r="9" spans="1:18" x14ac:dyDescent="0.2">
      <c r="A9" s="298"/>
      <c r="B9" s="195"/>
      <c r="C9" s="195"/>
      <c r="D9" s="195"/>
      <c r="E9" s="195"/>
      <c r="F9" s="195"/>
      <c r="G9" s="195"/>
      <c r="H9" s="195"/>
      <c r="I9" s="195"/>
      <c r="J9" s="194"/>
      <c r="L9" s="382" t="s">
        <v>712</v>
      </c>
      <c r="M9" s="382"/>
      <c r="N9" s="382"/>
      <c r="O9" s="382"/>
      <c r="P9" s="382"/>
      <c r="Q9" s="382"/>
      <c r="R9" s="382"/>
    </row>
    <row r="10" spans="1:18" x14ac:dyDescent="0.2">
      <c r="A10" s="298" t="s">
        <v>2</v>
      </c>
      <c r="B10" s="195" t="s">
        <v>442</v>
      </c>
      <c r="C10" s="195" t="s">
        <v>711</v>
      </c>
      <c r="D10" s="195"/>
      <c r="E10" s="195"/>
      <c r="F10" s="195"/>
      <c r="G10" s="195"/>
      <c r="H10" s="195"/>
      <c r="I10" s="195"/>
      <c r="J10" s="194"/>
      <c r="L10" s="382"/>
      <c r="M10" s="382"/>
      <c r="N10" s="382"/>
      <c r="O10" s="382"/>
      <c r="P10" s="382"/>
      <c r="Q10" s="382"/>
      <c r="R10" s="382"/>
    </row>
    <row r="11" spans="1:18" x14ac:dyDescent="0.2">
      <c r="A11" s="298"/>
      <c r="B11" s="195"/>
      <c r="C11" s="195" t="s">
        <v>710</v>
      </c>
      <c r="D11" s="195"/>
      <c r="E11" s="195"/>
      <c r="F11" s="195"/>
      <c r="G11" s="195"/>
      <c r="H11" s="195"/>
      <c r="I11" s="195"/>
      <c r="J11" s="194"/>
    </row>
    <row r="12" spans="1:18" x14ac:dyDescent="0.2">
      <c r="A12" s="298"/>
      <c r="B12" s="214"/>
      <c r="C12" s="195" t="s">
        <v>709</v>
      </c>
      <c r="D12" s="195"/>
      <c r="E12" s="195"/>
      <c r="F12" s="195"/>
      <c r="G12" s="195"/>
      <c r="H12" s="195"/>
      <c r="I12" s="195"/>
      <c r="J12" s="194"/>
      <c r="L12" t="s">
        <v>708</v>
      </c>
    </row>
    <row r="13" spans="1:18" x14ac:dyDescent="0.2">
      <c r="A13" s="298"/>
      <c r="B13" s="214"/>
      <c r="C13" s="195"/>
      <c r="D13" s="195"/>
      <c r="E13" s="195"/>
      <c r="F13" s="195"/>
      <c r="G13" s="195"/>
      <c r="H13" s="195"/>
      <c r="I13" s="195"/>
      <c r="J13" s="194"/>
    </row>
    <row r="14" spans="1:18" x14ac:dyDescent="0.2">
      <c r="A14" s="298"/>
      <c r="B14" s="214"/>
      <c r="C14" s="195" t="s">
        <v>707</v>
      </c>
      <c r="D14" s="195"/>
      <c r="E14" s="195"/>
      <c r="F14" s="195"/>
      <c r="G14" s="195"/>
      <c r="H14" s="195"/>
      <c r="I14" s="195"/>
      <c r="J14" s="194"/>
      <c r="L14" s="188" t="s">
        <v>436</v>
      </c>
    </row>
    <row r="15" spans="1:18" x14ac:dyDescent="0.2">
      <c r="A15" s="298"/>
      <c r="B15" s="214"/>
      <c r="C15" s="195" t="s">
        <v>706</v>
      </c>
      <c r="D15" s="195"/>
      <c r="E15" s="195"/>
      <c r="F15" s="195"/>
      <c r="G15" s="195"/>
      <c r="H15" s="195"/>
      <c r="I15" s="195"/>
      <c r="J15" s="194"/>
      <c r="L15" s="382" t="s">
        <v>705</v>
      </c>
      <c r="M15" s="382"/>
      <c r="N15" s="382"/>
      <c r="O15" s="382"/>
      <c r="P15" s="382"/>
      <c r="Q15" s="382"/>
      <c r="R15" s="382"/>
    </row>
    <row r="16" spans="1:18" ht="17" thickBot="1" x14ac:dyDescent="0.25">
      <c r="A16" s="298"/>
      <c r="B16" s="214"/>
      <c r="C16" s="195"/>
      <c r="D16" s="195"/>
      <c r="E16" s="195"/>
      <c r="F16" s="195"/>
      <c r="G16" s="195"/>
      <c r="H16" s="195"/>
      <c r="I16" s="195"/>
      <c r="J16" s="194"/>
      <c r="L16" s="382"/>
      <c r="M16" s="382"/>
      <c r="N16" s="382"/>
      <c r="O16" s="382"/>
      <c r="P16" s="382"/>
      <c r="Q16" s="382"/>
      <c r="R16" s="382"/>
    </row>
    <row r="17" spans="1:18" ht="17" thickBot="1" x14ac:dyDescent="0.25">
      <c r="A17" s="312" t="s">
        <v>176</v>
      </c>
      <c r="B17" s="190"/>
      <c r="C17" s="311"/>
      <c r="D17" s="190"/>
      <c r="E17" s="190"/>
      <c r="F17" s="190"/>
      <c r="G17" s="190"/>
      <c r="H17" s="190"/>
      <c r="I17" s="190"/>
      <c r="J17" s="189"/>
    </row>
    <row r="18" spans="1:18" x14ac:dyDescent="0.2">
      <c r="L18" s="382" t="s">
        <v>704</v>
      </c>
      <c r="M18" s="382"/>
      <c r="N18" s="382"/>
      <c r="O18" s="382"/>
      <c r="P18" s="382"/>
      <c r="Q18" s="382"/>
      <c r="R18" s="382"/>
    </row>
    <row r="19" spans="1:18" x14ac:dyDescent="0.2">
      <c r="L19" s="382"/>
      <c r="M19" s="382"/>
      <c r="N19" s="382"/>
      <c r="O19" s="382"/>
      <c r="P19" s="382"/>
      <c r="Q19" s="382"/>
      <c r="R19" s="382"/>
    </row>
  </sheetData>
  <mergeCells count="4">
    <mergeCell ref="L4:R6"/>
    <mergeCell ref="L9:R10"/>
    <mergeCell ref="L15:R16"/>
    <mergeCell ref="L18:R19"/>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86989-FE01-D24A-BAF6-112C61A6E209}">
  <dimension ref="A1:T96"/>
  <sheetViews>
    <sheetView workbookViewId="0"/>
  </sheetViews>
  <sheetFormatPr baseColWidth="10" defaultColWidth="10.83203125" defaultRowHeight="16" outlineLevelCol="1" x14ac:dyDescent="0.2"/>
  <cols>
    <col min="1" max="1" width="4.5" style="252" customWidth="1"/>
    <col min="2" max="2" width="10.83203125" style="252"/>
    <col min="3" max="3" width="13.83203125" style="252" bestFit="1" customWidth="1"/>
    <col min="4" max="7" width="10.83203125" style="252"/>
    <col min="8" max="8" width="11.5" style="252" customWidth="1"/>
    <col min="9" max="12" width="10.83203125" style="252"/>
    <col min="13" max="19" width="10.83203125" style="252" hidden="1" customWidth="1" outlineLevel="1"/>
    <col min="20" max="20" width="10.83203125" style="252" collapsed="1"/>
    <col min="21" max="16384" width="10.83203125" style="252"/>
  </cols>
  <sheetData>
    <row r="1" spans="1:19" ht="19" x14ac:dyDescent="0.25">
      <c r="A1" s="309" t="s">
        <v>393</v>
      </c>
      <c r="B1" s="226"/>
      <c r="C1" s="225"/>
      <c r="D1" s="225"/>
      <c r="E1" s="225"/>
      <c r="F1" s="308"/>
      <c r="G1" s="308"/>
      <c r="H1" s="308"/>
      <c r="I1" s="308"/>
      <c r="J1" s="307"/>
      <c r="L1" s="188" t="s">
        <v>392</v>
      </c>
    </row>
    <row r="2" spans="1:19" x14ac:dyDescent="0.2">
      <c r="A2" s="298"/>
      <c r="B2" s="259"/>
      <c r="C2" s="259"/>
      <c r="D2" s="259"/>
      <c r="E2" s="259"/>
      <c r="F2" s="259"/>
      <c r="G2" s="259"/>
      <c r="H2" s="259"/>
      <c r="I2" s="259"/>
      <c r="J2" s="296"/>
    </row>
    <row r="3" spans="1:19" x14ac:dyDescent="0.2">
      <c r="A3" s="298"/>
      <c r="B3" s="299" t="s">
        <v>391</v>
      </c>
      <c r="C3" s="259"/>
      <c r="D3" s="259"/>
      <c r="E3" s="259"/>
      <c r="F3" s="259"/>
      <c r="G3" s="259"/>
      <c r="H3" s="259"/>
      <c r="I3" s="259"/>
      <c r="J3" s="296"/>
      <c r="M3" s="306" t="s">
        <v>391</v>
      </c>
    </row>
    <row r="4" spans="1:19" x14ac:dyDescent="0.2">
      <c r="A4" s="298"/>
      <c r="B4" s="259"/>
      <c r="C4" s="259"/>
      <c r="D4" s="259"/>
      <c r="E4" s="259"/>
      <c r="F4" s="259"/>
      <c r="G4" s="259"/>
      <c r="H4" s="259"/>
      <c r="I4" s="259"/>
      <c r="J4" s="296"/>
      <c r="M4" s="301"/>
    </row>
    <row r="5" spans="1:19" x14ac:dyDescent="0.2">
      <c r="A5" s="298"/>
      <c r="B5" s="305" t="s">
        <v>390</v>
      </c>
      <c r="C5" s="259"/>
      <c r="D5" s="259"/>
      <c r="E5" s="259"/>
      <c r="F5" s="259"/>
      <c r="G5" s="259"/>
      <c r="H5" s="259"/>
      <c r="I5" s="259"/>
      <c r="J5" s="296"/>
      <c r="M5" s="301" t="s">
        <v>389</v>
      </c>
    </row>
    <row r="6" spans="1:19" x14ac:dyDescent="0.2">
      <c r="A6" s="298"/>
      <c r="B6" s="259"/>
      <c r="C6" s="259"/>
      <c r="D6" s="259"/>
      <c r="E6" s="259"/>
      <c r="F6" s="259"/>
      <c r="G6" s="259"/>
      <c r="H6" s="259"/>
      <c r="I6" s="259"/>
      <c r="J6" s="296"/>
      <c r="M6" s="301" t="s">
        <v>388</v>
      </c>
    </row>
    <row r="7" spans="1:19" x14ac:dyDescent="0.2">
      <c r="A7" s="298"/>
      <c r="B7" s="299" t="s">
        <v>385</v>
      </c>
      <c r="C7" s="259"/>
      <c r="D7" s="259"/>
      <c r="E7" s="304"/>
      <c r="F7" s="303"/>
      <c r="G7" s="259"/>
      <c r="H7" s="259"/>
      <c r="I7" s="259"/>
      <c r="J7" s="296"/>
      <c r="M7" s="291" t="s">
        <v>387</v>
      </c>
      <c r="N7" s="291"/>
      <c r="O7" s="291"/>
      <c r="P7" s="291"/>
      <c r="Q7" s="291"/>
      <c r="R7" s="291"/>
      <c r="S7" s="291"/>
    </row>
    <row r="8" spans="1:19" x14ac:dyDescent="0.2">
      <c r="A8" s="298"/>
      <c r="B8" s="259"/>
      <c r="C8" s="259"/>
      <c r="D8" s="259"/>
      <c r="E8" s="304"/>
      <c r="F8" s="303"/>
      <c r="G8" s="259"/>
      <c r="H8" s="259"/>
      <c r="I8" s="259"/>
      <c r="J8" s="296"/>
      <c r="M8" s="291"/>
      <c r="N8" s="291"/>
      <c r="O8" s="291"/>
      <c r="P8" s="291"/>
      <c r="Q8" s="291"/>
      <c r="R8" s="291"/>
      <c r="S8" s="291"/>
    </row>
    <row r="9" spans="1:19" x14ac:dyDescent="0.2">
      <c r="A9" s="298"/>
      <c r="B9" s="297" t="s">
        <v>386</v>
      </c>
      <c r="C9" s="297"/>
      <c r="D9" s="297"/>
      <c r="E9" s="297"/>
      <c r="F9" s="297"/>
      <c r="G9" s="297"/>
      <c r="H9" s="297"/>
      <c r="I9" s="297"/>
      <c r="J9" s="296"/>
    </row>
    <row r="10" spans="1:19" x14ac:dyDescent="0.2">
      <c r="A10" s="298"/>
      <c r="B10" s="297"/>
      <c r="C10" s="297"/>
      <c r="D10" s="297"/>
      <c r="E10" s="297"/>
      <c r="F10" s="297"/>
      <c r="G10" s="297"/>
      <c r="H10" s="297"/>
      <c r="I10" s="297"/>
      <c r="J10" s="296"/>
      <c r="M10" s="302" t="s">
        <v>385</v>
      </c>
    </row>
    <row r="11" spans="1:19" x14ac:dyDescent="0.2">
      <c r="A11" s="298"/>
      <c r="B11" s="259"/>
      <c r="C11" s="259"/>
      <c r="D11" s="259"/>
      <c r="E11" s="259"/>
      <c r="F11" s="259"/>
      <c r="G11" s="259"/>
      <c r="H11" s="259"/>
      <c r="I11" s="259"/>
      <c r="J11" s="296"/>
    </row>
    <row r="12" spans="1:19" x14ac:dyDescent="0.2">
      <c r="A12" s="298"/>
      <c r="B12" s="299" t="s">
        <v>382</v>
      </c>
      <c r="C12" s="259"/>
      <c r="D12" s="259"/>
      <c r="E12" s="259"/>
      <c r="F12" s="259"/>
      <c r="G12" s="259"/>
      <c r="H12" s="259"/>
      <c r="I12" s="259"/>
      <c r="J12" s="296"/>
      <c r="M12" s="289" t="s">
        <v>384</v>
      </c>
      <c r="N12" s="289"/>
      <c r="O12" s="289"/>
      <c r="P12" s="289"/>
      <c r="Q12" s="289"/>
      <c r="R12" s="289"/>
      <c r="S12" s="289"/>
    </row>
    <row r="13" spans="1:19" x14ac:dyDescent="0.2">
      <c r="A13" s="298"/>
      <c r="B13" s="259"/>
      <c r="C13" s="259"/>
      <c r="D13" s="259"/>
      <c r="E13" s="259"/>
      <c r="F13" s="259"/>
      <c r="G13" s="259"/>
      <c r="H13" s="259"/>
      <c r="I13" s="259"/>
      <c r="J13" s="296"/>
      <c r="M13" s="289"/>
      <c r="N13" s="289"/>
      <c r="O13" s="289"/>
      <c r="P13" s="289"/>
      <c r="Q13" s="289"/>
      <c r="R13" s="289"/>
      <c r="S13" s="289"/>
    </row>
    <row r="14" spans="1:19" x14ac:dyDescent="0.2">
      <c r="A14" s="298"/>
      <c r="B14" s="300" t="s">
        <v>383</v>
      </c>
      <c r="C14" s="259"/>
      <c r="D14" s="259"/>
      <c r="E14" s="259"/>
      <c r="F14" s="259"/>
      <c r="G14" s="259"/>
      <c r="H14" s="259"/>
      <c r="I14" s="259"/>
      <c r="J14" s="296"/>
      <c r="M14" s="289"/>
      <c r="N14" s="289"/>
      <c r="O14" s="289"/>
      <c r="P14" s="289"/>
      <c r="Q14" s="289"/>
      <c r="R14" s="289"/>
      <c r="S14" s="289"/>
    </row>
    <row r="15" spans="1:19" x14ac:dyDescent="0.2">
      <c r="A15" s="298"/>
      <c r="B15" s="259"/>
      <c r="C15" s="259"/>
      <c r="D15" s="259"/>
      <c r="E15" s="259"/>
      <c r="F15" s="259"/>
      <c r="G15" s="259"/>
      <c r="H15" s="259"/>
      <c r="I15" s="259"/>
      <c r="J15" s="296"/>
      <c r="M15" s="289"/>
      <c r="N15" s="289"/>
      <c r="O15" s="289"/>
      <c r="P15" s="289"/>
      <c r="Q15" s="289"/>
      <c r="R15" s="289"/>
      <c r="S15" s="289"/>
    </row>
    <row r="16" spans="1:19" x14ac:dyDescent="0.2">
      <c r="A16" s="298"/>
      <c r="B16" s="299" t="s">
        <v>377</v>
      </c>
      <c r="C16" s="259"/>
      <c r="D16" s="259"/>
      <c r="E16" s="259"/>
      <c r="F16" s="259"/>
      <c r="G16" s="259"/>
      <c r="H16" s="259"/>
      <c r="I16" s="259"/>
      <c r="J16" s="296"/>
      <c r="M16" s="301"/>
    </row>
    <row r="17" spans="1:19" x14ac:dyDescent="0.2">
      <c r="A17" s="298"/>
      <c r="B17" s="259"/>
      <c r="C17" s="259"/>
      <c r="D17" s="259"/>
      <c r="E17" s="259"/>
      <c r="F17" s="259"/>
      <c r="G17" s="259"/>
      <c r="H17" s="259"/>
      <c r="I17" s="259"/>
      <c r="J17" s="296"/>
      <c r="M17" s="250" t="s">
        <v>382</v>
      </c>
    </row>
    <row r="18" spans="1:19" x14ac:dyDescent="0.2">
      <c r="A18" s="298"/>
      <c r="B18" s="300" t="s">
        <v>381</v>
      </c>
      <c r="C18" s="259"/>
      <c r="D18" s="259"/>
      <c r="E18" s="259"/>
      <c r="F18" s="259"/>
      <c r="G18" s="259"/>
      <c r="H18" s="259"/>
      <c r="I18" s="259"/>
      <c r="J18" s="296"/>
    </row>
    <row r="19" spans="1:19" x14ac:dyDescent="0.2">
      <c r="A19" s="298"/>
      <c r="B19" s="259"/>
      <c r="C19" s="259"/>
      <c r="D19" s="259"/>
      <c r="E19" s="259"/>
      <c r="F19" s="259"/>
      <c r="G19" s="259"/>
      <c r="H19" s="259"/>
      <c r="I19" s="259"/>
      <c r="J19" s="296"/>
      <c r="M19" s="301" t="s">
        <v>380</v>
      </c>
    </row>
    <row r="20" spans="1:19" x14ac:dyDescent="0.2">
      <c r="A20" s="298"/>
      <c r="B20" s="299" t="s">
        <v>372</v>
      </c>
      <c r="C20" s="259"/>
      <c r="D20" s="259"/>
      <c r="E20" s="259"/>
      <c r="F20" s="259"/>
      <c r="G20" s="259"/>
      <c r="H20" s="259"/>
      <c r="I20" s="259"/>
      <c r="J20" s="296"/>
      <c r="M20" s="301" t="s">
        <v>379</v>
      </c>
    </row>
    <row r="21" spans="1:19" x14ac:dyDescent="0.2">
      <c r="A21" s="298"/>
      <c r="B21" s="259"/>
      <c r="C21" s="259"/>
      <c r="D21" s="259"/>
      <c r="E21" s="259"/>
      <c r="F21" s="259"/>
      <c r="G21" s="259"/>
      <c r="H21" s="259"/>
      <c r="I21" s="259"/>
      <c r="J21" s="296"/>
      <c r="M21" s="290"/>
    </row>
    <row r="22" spans="1:19" x14ac:dyDescent="0.2">
      <c r="A22" s="298"/>
      <c r="B22" s="300" t="s">
        <v>378</v>
      </c>
      <c r="C22" s="259"/>
      <c r="D22" s="259"/>
      <c r="E22" s="259"/>
      <c r="F22" s="259"/>
      <c r="G22" s="259"/>
      <c r="H22" s="259"/>
      <c r="I22" s="259"/>
      <c r="J22" s="296"/>
      <c r="M22" s="250" t="s">
        <v>377</v>
      </c>
    </row>
    <row r="23" spans="1:19" x14ac:dyDescent="0.2">
      <c r="A23" s="298"/>
      <c r="B23" s="259"/>
      <c r="C23" s="259"/>
      <c r="D23" s="259"/>
      <c r="E23" s="259"/>
      <c r="F23" s="259"/>
      <c r="G23" s="259"/>
      <c r="H23" s="259"/>
      <c r="I23" s="259"/>
      <c r="J23" s="296"/>
      <c r="M23" s="292"/>
    </row>
    <row r="24" spans="1:19" x14ac:dyDescent="0.2">
      <c r="A24" s="298"/>
      <c r="B24" s="299" t="s">
        <v>359</v>
      </c>
      <c r="C24" s="259"/>
      <c r="D24" s="259"/>
      <c r="E24" s="259"/>
      <c r="F24" s="259"/>
      <c r="G24" s="259"/>
      <c r="H24" s="259"/>
      <c r="I24" s="259"/>
      <c r="J24" s="296"/>
      <c r="M24" s="291" t="s">
        <v>376</v>
      </c>
      <c r="N24" s="291"/>
      <c r="O24" s="291"/>
      <c r="P24" s="291"/>
      <c r="Q24" s="291"/>
      <c r="R24" s="291"/>
      <c r="S24" s="291"/>
    </row>
    <row r="25" spans="1:19" x14ac:dyDescent="0.2">
      <c r="A25" s="298"/>
      <c r="B25" s="259"/>
      <c r="C25" s="259"/>
      <c r="D25" s="259"/>
      <c r="E25" s="259"/>
      <c r="F25" s="259"/>
      <c r="G25" s="259"/>
      <c r="H25" s="259"/>
      <c r="I25" s="259"/>
      <c r="J25" s="296"/>
      <c r="M25" s="291"/>
      <c r="N25" s="291"/>
      <c r="O25" s="291"/>
      <c r="P25" s="291"/>
      <c r="Q25" s="291"/>
      <c r="R25" s="291"/>
      <c r="S25" s="291"/>
    </row>
    <row r="26" spans="1:19" x14ac:dyDescent="0.2">
      <c r="A26" s="298"/>
      <c r="B26" s="300" t="s">
        <v>375</v>
      </c>
      <c r="C26" s="259"/>
      <c r="D26" s="259"/>
      <c r="E26" s="259"/>
      <c r="F26" s="259"/>
      <c r="G26" s="259"/>
      <c r="H26" s="259"/>
      <c r="I26" s="259"/>
      <c r="J26" s="296"/>
    </row>
    <row r="27" spans="1:19" x14ac:dyDescent="0.2">
      <c r="A27" s="298"/>
      <c r="B27" s="259"/>
      <c r="C27" s="259"/>
      <c r="D27" s="259"/>
      <c r="E27" s="259"/>
      <c r="F27" s="259"/>
      <c r="G27" s="259"/>
      <c r="H27" s="259"/>
      <c r="I27" s="259"/>
      <c r="J27" s="296"/>
      <c r="M27" s="291" t="s">
        <v>374</v>
      </c>
      <c r="N27" s="291"/>
      <c r="O27" s="291"/>
      <c r="P27" s="291"/>
      <c r="Q27" s="291"/>
      <c r="R27" s="291"/>
      <c r="S27" s="291"/>
    </row>
    <row r="28" spans="1:19" x14ac:dyDescent="0.2">
      <c r="A28" s="298"/>
      <c r="B28" s="299" t="s">
        <v>354</v>
      </c>
      <c r="C28" s="259"/>
      <c r="D28" s="259"/>
      <c r="E28" s="259"/>
      <c r="F28" s="259"/>
      <c r="G28" s="259"/>
      <c r="H28" s="259"/>
      <c r="I28" s="259"/>
      <c r="J28" s="296"/>
      <c r="M28" s="291"/>
      <c r="N28" s="291"/>
      <c r="O28" s="291"/>
      <c r="P28" s="291"/>
      <c r="Q28" s="291"/>
      <c r="R28" s="291"/>
      <c r="S28" s="291"/>
    </row>
    <row r="29" spans="1:19" x14ac:dyDescent="0.2">
      <c r="A29" s="298"/>
      <c r="B29" s="259"/>
      <c r="C29" s="259"/>
      <c r="D29" s="259"/>
      <c r="E29" s="259"/>
      <c r="F29" s="259"/>
      <c r="G29" s="259"/>
      <c r="H29" s="259"/>
      <c r="I29" s="259"/>
      <c r="J29" s="296"/>
    </row>
    <row r="30" spans="1:19" x14ac:dyDescent="0.2">
      <c r="A30" s="298"/>
      <c r="B30" s="300" t="s">
        <v>373</v>
      </c>
      <c r="C30" s="259"/>
      <c r="D30" s="259"/>
      <c r="E30" s="259"/>
      <c r="F30" s="259"/>
      <c r="G30" s="259"/>
      <c r="H30" s="259"/>
      <c r="I30" s="259"/>
      <c r="J30" s="296"/>
      <c r="M30" s="250" t="s">
        <v>372</v>
      </c>
      <c r="N30" s="292"/>
    </row>
    <row r="31" spans="1:19" x14ac:dyDescent="0.2">
      <c r="A31" s="298"/>
      <c r="B31" s="259"/>
      <c r="C31" s="259"/>
      <c r="D31" s="259"/>
      <c r="E31" s="259"/>
      <c r="F31" s="259"/>
      <c r="G31" s="259"/>
      <c r="H31" s="259"/>
      <c r="I31" s="259"/>
      <c r="J31" s="296"/>
    </row>
    <row r="32" spans="1:19" x14ac:dyDescent="0.2">
      <c r="A32" s="298"/>
      <c r="B32" s="299" t="s">
        <v>352</v>
      </c>
      <c r="C32" s="259"/>
      <c r="D32" s="259"/>
      <c r="E32" s="259"/>
      <c r="F32" s="259"/>
      <c r="G32" s="259"/>
      <c r="H32" s="259"/>
      <c r="I32" s="259"/>
      <c r="J32" s="296"/>
      <c r="M32" s="292" t="s">
        <v>371</v>
      </c>
    </row>
    <row r="33" spans="1:19" x14ac:dyDescent="0.2">
      <c r="A33" s="298"/>
      <c r="B33" s="259"/>
      <c r="C33" s="259"/>
      <c r="D33" s="259"/>
      <c r="E33" s="259"/>
      <c r="F33" s="259"/>
      <c r="G33" s="259"/>
      <c r="H33" s="259"/>
      <c r="I33" s="259"/>
      <c r="J33" s="296"/>
    </row>
    <row r="34" spans="1:19" x14ac:dyDescent="0.2">
      <c r="A34" s="298"/>
      <c r="B34" s="300" t="s">
        <v>370</v>
      </c>
      <c r="C34" s="259"/>
      <c r="D34" s="259"/>
      <c r="E34" s="259"/>
      <c r="F34" s="259"/>
      <c r="G34" s="259"/>
      <c r="H34" s="259"/>
      <c r="I34" s="259"/>
      <c r="J34" s="296"/>
      <c r="N34" s="289" t="s">
        <v>369</v>
      </c>
      <c r="O34" s="289"/>
      <c r="P34" s="289"/>
      <c r="Q34" s="289"/>
      <c r="R34" s="289"/>
      <c r="S34" s="289"/>
    </row>
    <row r="35" spans="1:19" x14ac:dyDescent="0.2">
      <c r="A35" s="298"/>
      <c r="B35" s="259"/>
      <c r="C35" s="259"/>
      <c r="D35" s="259"/>
      <c r="E35" s="259"/>
      <c r="F35" s="259"/>
      <c r="G35" s="259"/>
      <c r="H35" s="259"/>
      <c r="I35" s="259"/>
      <c r="J35" s="296"/>
      <c r="N35" s="289"/>
      <c r="O35" s="289"/>
      <c r="P35" s="289"/>
      <c r="Q35" s="289"/>
      <c r="R35" s="289"/>
      <c r="S35" s="289"/>
    </row>
    <row r="36" spans="1:19" x14ac:dyDescent="0.2">
      <c r="A36" s="298"/>
      <c r="B36" s="299" t="s">
        <v>349</v>
      </c>
      <c r="C36" s="259"/>
      <c r="D36" s="259"/>
      <c r="E36" s="259"/>
      <c r="F36" s="259"/>
      <c r="G36" s="259"/>
      <c r="H36" s="259"/>
      <c r="I36" s="259"/>
      <c r="J36" s="296"/>
    </row>
    <row r="37" spans="1:19" x14ac:dyDescent="0.2">
      <c r="A37" s="298"/>
      <c r="B37" s="259"/>
      <c r="C37" s="259"/>
      <c r="D37" s="259"/>
      <c r="E37" s="259"/>
      <c r="F37" s="259"/>
      <c r="G37" s="259"/>
      <c r="H37" s="259"/>
      <c r="I37" s="259"/>
      <c r="J37" s="296"/>
      <c r="N37" s="289" t="s">
        <v>368</v>
      </c>
      <c r="O37" s="289"/>
      <c r="P37" s="289"/>
      <c r="Q37" s="289"/>
      <c r="R37" s="289"/>
      <c r="S37" s="289"/>
    </row>
    <row r="38" spans="1:19" x14ac:dyDescent="0.2">
      <c r="A38" s="298"/>
      <c r="B38" s="297" t="s">
        <v>367</v>
      </c>
      <c r="C38" s="297"/>
      <c r="D38" s="297"/>
      <c r="E38" s="297"/>
      <c r="F38" s="297"/>
      <c r="G38" s="297"/>
      <c r="H38" s="297"/>
      <c r="I38" s="297"/>
      <c r="J38" s="296"/>
      <c r="N38" s="289"/>
      <c r="O38" s="289"/>
      <c r="P38" s="289"/>
      <c r="Q38" s="289"/>
      <c r="R38" s="289"/>
      <c r="S38" s="289"/>
    </row>
    <row r="39" spans="1:19" x14ac:dyDescent="0.2">
      <c r="A39" s="298"/>
      <c r="B39" s="297"/>
      <c r="C39" s="297"/>
      <c r="D39" s="297"/>
      <c r="E39" s="297"/>
      <c r="F39" s="297"/>
      <c r="G39" s="297"/>
      <c r="H39" s="297"/>
      <c r="I39" s="297"/>
      <c r="J39" s="296"/>
    </row>
    <row r="40" spans="1:19" x14ac:dyDescent="0.2">
      <c r="A40" s="298"/>
      <c r="B40" s="259"/>
      <c r="C40" s="259"/>
      <c r="D40" s="259"/>
      <c r="E40" s="259"/>
      <c r="F40" s="259"/>
      <c r="G40" s="259"/>
      <c r="H40" s="259"/>
      <c r="I40" s="259"/>
      <c r="J40" s="296"/>
      <c r="M40" s="292" t="s">
        <v>366</v>
      </c>
    </row>
    <row r="41" spans="1:19" x14ac:dyDescent="0.2">
      <c r="A41" s="298"/>
      <c r="B41" s="259" t="s">
        <v>0</v>
      </c>
      <c r="C41" s="259"/>
      <c r="D41" s="259"/>
      <c r="E41" s="259"/>
      <c r="F41" s="259"/>
      <c r="G41" s="259"/>
      <c r="H41" s="259"/>
      <c r="I41" s="259"/>
      <c r="J41" s="296"/>
    </row>
    <row r="42" spans="1:19" x14ac:dyDescent="0.2">
      <c r="A42" s="298"/>
      <c r="B42" s="297" t="s">
        <v>365</v>
      </c>
      <c r="C42" s="297"/>
      <c r="D42" s="297"/>
      <c r="E42" s="297"/>
      <c r="F42" s="297"/>
      <c r="G42" s="297"/>
      <c r="H42" s="297"/>
      <c r="I42" s="297"/>
      <c r="J42" s="296"/>
      <c r="N42" s="289" t="s">
        <v>364</v>
      </c>
      <c r="O42" s="289"/>
      <c r="P42" s="289"/>
      <c r="Q42" s="289"/>
      <c r="R42" s="289"/>
      <c r="S42" s="289"/>
    </row>
    <row r="43" spans="1:19" x14ac:dyDescent="0.2">
      <c r="A43" s="298"/>
      <c r="B43" s="297"/>
      <c r="C43" s="297"/>
      <c r="D43" s="297"/>
      <c r="E43" s="297"/>
      <c r="F43" s="297"/>
      <c r="G43" s="297"/>
      <c r="H43" s="297"/>
      <c r="I43" s="297"/>
      <c r="J43" s="296"/>
      <c r="N43" s="289"/>
      <c r="O43" s="289"/>
      <c r="P43" s="289"/>
      <c r="Q43" s="289"/>
      <c r="R43" s="289"/>
      <c r="S43" s="289"/>
    </row>
    <row r="44" spans="1:19" x14ac:dyDescent="0.2">
      <c r="A44" s="298"/>
      <c r="B44" s="214"/>
      <c r="C44" s="259"/>
      <c r="D44" s="259"/>
      <c r="E44" s="259"/>
      <c r="F44" s="259"/>
      <c r="G44" s="259"/>
      <c r="H44" s="259"/>
      <c r="I44" s="259"/>
      <c r="J44" s="296"/>
      <c r="N44" s="289"/>
      <c r="O44" s="289"/>
      <c r="P44" s="289"/>
      <c r="Q44" s="289"/>
      <c r="R44" s="289"/>
      <c r="S44" s="289"/>
    </row>
    <row r="45" spans="1:19" x14ac:dyDescent="0.2">
      <c r="A45" s="298"/>
      <c r="B45" s="259" t="s">
        <v>1</v>
      </c>
      <c r="C45" s="259"/>
      <c r="D45" s="259"/>
      <c r="E45" s="259"/>
      <c r="F45" s="259"/>
      <c r="G45" s="259"/>
      <c r="H45" s="259"/>
      <c r="I45" s="259"/>
      <c r="J45" s="296"/>
      <c r="N45" s="289"/>
      <c r="O45" s="289"/>
      <c r="P45" s="289"/>
      <c r="Q45" s="289"/>
      <c r="R45" s="289"/>
      <c r="S45" s="289"/>
    </row>
    <row r="46" spans="1:19" x14ac:dyDescent="0.2">
      <c r="A46" s="298"/>
      <c r="B46" s="297" t="s">
        <v>363</v>
      </c>
      <c r="C46" s="297"/>
      <c r="D46" s="297"/>
      <c r="E46" s="297"/>
      <c r="F46" s="297"/>
      <c r="G46" s="297"/>
      <c r="H46" s="297"/>
      <c r="I46" s="297"/>
      <c r="J46" s="296"/>
    </row>
    <row r="47" spans="1:19" x14ac:dyDescent="0.2">
      <c r="A47" s="298"/>
      <c r="B47" s="297"/>
      <c r="C47" s="297"/>
      <c r="D47" s="297"/>
      <c r="E47" s="297"/>
      <c r="F47" s="297"/>
      <c r="G47" s="297"/>
      <c r="H47" s="297"/>
      <c r="I47" s="297"/>
      <c r="J47" s="296"/>
      <c r="M47" s="289" t="s">
        <v>362</v>
      </c>
      <c r="N47" s="289"/>
      <c r="O47" s="289"/>
      <c r="P47" s="289"/>
      <c r="Q47" s="289"/>
      <c r="R47" s="289"/>
      <c r="S47" s="289"/>
    </row>
    <row r="48" spans="1:19" ht="17" thickBot="1" x14ac:dyDescent="0.25">
      <c r="A48" s="295"/>
      <c r="B48" s="294"/>
      <c r="C48" s="294"/>
      <c r="D48" s="294"/>
      <c r="E48" s="294"/>
      <c r="F48" s="294"/>
      <c r="G48" s="294"/>
      <c r="H48" s="294"/>
      <c r="I48" s="294"/>
      <c r="J48" s="293"/>
      <c r="M48" s="289"/>
      <c r="N48" s="289"/>
      <c r="O48" s="289"/>
      <c r="P48" s="289"/>
      <c r="Q48" s="289"/>
      <c r="R48" s="289"/>
      <c r="S48" s="289"/>
    </row>
    <row r="50" spans="13:19" x14ac:dyDescent="0.2">
      <c r="N50" s="289" t="s">
        <v>361</v>
      </c>
      <c r="O50" s="289"/>
      <c r="P50" s="289"/>
      <c r="Q50" s="289"/>
      <c r="R50" s="289"/>
      <c r="S50" s="289"/>
    </row>
    <row r="51" spans="13:19" x14ac:dyDescent="0.2">
      <c r="N51" s="289"/>
      <c r="O51" s="289"/>
      <c r="P51" s="289"/>
      <c r="Q51" s="289"/>
      <c r="R51" s="289"/>
      <c r="S51" s="289"/>
    </row>
    <row r="53" spans="13:19" x14ac:dyDescent="0.2">
      <c r="N53" s="289" t="s">
        <v>360</v>
      </c>
      <c r="O53" s="289"/>
      <c r="P53" s="289"/>
      <c r="Q53" s="289"/>
      <c r="R53" s="289"/>
      <c r="S53" s="289"/>
    </row>
    <row r="54" spans="13:19" x14ac:dyDescent="0.2">
      <c r="N54" s="289"/>
      <c r="O54" s="289"/>
      <c r="P54" s="289"/>
      <c r="Q54" s="289"/>
      <c r="R54" s="289"/>
      <c r="S54" s="289"/>
    </row>
    <row r="56" spans="13:19" x14ac:dyDescent="0.2">
      <c r="M56" s="250" t="s">
        <v>359</v>
      </c>
    </row>
    <row r="58" spans="13:19" x14ac:dyDescent="0.2">
      <c r="M58" s="292" t="s">
        <v>358</v>
      </c>
    </row>
    <row r="60" spans="13:19" x14ac:dyDescent="0.2">
      <c r="N60" s="291" t="s">
        <v>357</v>
      </c>
      <c r="O60" s="291"/>
      <c r="P60" s="291"/>
      <c r="Q60" s="291"/>
      <c r="R60" s="291"/>
      <c r="S60" s="291"/>
    </row>
    <row r="61" spans="13:19" x14ac:dyDescent="0.2">
      <c r="N61" s="291"/>
      <c r="O61" s="291"/>
      <c r="P61" s="291"/>
      <c r="Q61" s="291"/>
      <c r="R61" s="291"/>
      <c r="S61" s="291"/>
    </row>
    <row r="63" spans="13:19" x14ac:dyDescent="0.2">
      <c r="N63" s="291" t="s">
        <v>356</v>
      </c>
      <c r="O63" s="291"/>
      <c r="P63" s="291"/>
      <c r="Q63" s="291"/>
      <c r="R63" s="291"/>
      <c r="S63" s="291"/>
    </row>
    <row r="64" spans="13:19" x14ac:dyDescent="0.2">
      <c r="N64" s="291"/>
      <c r="O64" s="291"/>
      <c r="P64" s="291"/>
      <c r="Q64" s="291"/>
      <c r="R64" s="291"/>
      <c r="S64" s="291"/>
    </row>
    <row r="65" spans="13:19" x14ac:dyDescent="0.2">
      <c r="N65" s="291"/>
      <c r="O65" s="291"/>
      <c r="P65" s="291"/>
      <c r="Q65" s="291"/>
      <c r="R65" s="291"/>
      <c r="S65" s="291"/>
    </row>
    <row r="67" spans="13:19" ht="15.75" customHeight="1" x14ac:dyDescent="0.2">
      <c r="N67" s="291" t="s">
        <v>355</v>
      </c>
      <c r="O67" s="291"/>
      <c r="P67" s="291"/>
      <c r="Q67" s="291"/>
      <c r="R67" s="291"/>
      <c r="S67" s="291"/>
    </row>
    <row r="68" spans="13:19" x14ac:dyDescent="0.2">
      <c r="N68" s="291"/>
      <c r="O68" s="291"/>
      <c r="P68" s="291"/>
      <c r="Q68" s="291"/>
      <c r="R68" s="291"/>
      <c r="S68" s="291"/>
    </row>
    <row r="69" spans="13:19" x14ac:dyDescent="0.2">
      <c r="N69" s="291"/>
      <c r="O69" s="291"/>
      <c r="P69" s="291"/>
      <c r="Q69" s="291"/>
      <c r="R69" s="291"/>
      <c r="S69" s="291"/>
    </row>
    <row r="71" spans="13:19" x14ac:dyDescent="0.2">
      <c r="M71" s="250" t="s">
        <v>354</v>
      </c>
    </row>
    <row r="73" spans="13:19" x14ac:dyDescent="0.2">
      <c r="M73" s="289" t="s">
        <v>353</v>
      </c>
      <c r="N73" s="289"/>
      <c r="O73" s="289"/>
      <c r="P73" s="289"/>
      <c r="Q73" s="289"/>
      <c r="R73" s="289"/>
      <c r="S73" s="289"/>
    </row>
    <row r="74" spans="13:19" x14ac:dyDescent="0.2">
      <c r="M74" s="289"/>
      <c r="N74" s="289"/>
      <c r="O74" s="289"/>
      <c r="P74" s="289"/>
      <c r="Q74" s="289"/>
      <c r="R74" s="289"/>
      <c r="S74" s="289"/>
    </row>
    <row r="76" spans="13:19" x14ac:dyDescent="0.2">
      <c r="M76" s="250" t="s">
        <v>352</v>
      </c>
    </row>
    <row r="78" spans="13:19" x14ac:dyDescent="0.2">
      <c r="M78" s="289" t="s">
        <v>351</v>
      </c>
      <c r="N78" s="289"/>
      <c r="O78" s="289"/>
      <c r="P78" s="289"/>
      <c r="Q78" s="289"/>
      <c r="R78" s="289"/>
      <c r="S78" s="289"/>
    </row>
    <row r="79" spans="13:19" x14ac:dyDescent="0.2">
      <c r="M79" s="289"/>
      <c r="N79" s="289"/>
      <c r="O79" s="289"/>
      <c r="P79" s="289"/>
      <c r="Q79" s="289"/>
      <c r="R79" s="289"/>
      <c r="S79" s="289"/>
    </row>
    <row r="81" spans="13:19" x14ac:dyDescent="0.2">
      <c r="M81" s="289" t="s">
        <v>350</v>
      </c>
      <c r="N81" s="289"/>
      <c r="O81" s="289"/>
      <c r="P81" s="289"/>
      <c r="Q81" s="289"/>
      <c r="R81" s="289"/>
      <c r="S81" s="289"/>
    </row>
    <row r="82" spans="13:19" x14ac:dyDescent="0.2">
      <c r="M82" s="289"/>
      <c r="N82" s="289"/>
      <c r="O82" s="289"/>
      <c r="P82" s="289"/>
      <c r="Q82" s="289"/>
      <c r="R82" s="289"/>
      <c r="S82" s="289"/>
    </row>
    <row r="83" spans="13:19" x14ac:dyDescent="0.2">
      <c r="M83" s="289"/>
      <c r="N83" s="289"/>
      <c r="O83" s="289"/>
      <c r="P83" s="289"/>
      <c r="Q83" s="289"/>
      <c r="R83" s="289"/>
      <c r="S83" s="289"/>
    </row>
    <row r="85" spans="13:19" x14ac:dyDescent="0.2">
      <c r="M85" s="250" t="s">
        <v>349</v>
      </c>
    </row>
    <row r="87" spans="13:19" x14ac:dyDescent="0.2">
      <c r="M87" s="290" t="s">
        <v>273</v>
      </c>
    </row>
    <row r="89" spans="13:19" x14ac:dyDescent="0.2">
      <c r="M89" s="289" t="s">
        <v>348</v>
      </c>
      <c r="N89" s="289"/>
      <c r="O89" s="289"/>
      <c r="P89" s="289"/>
      <c r="Q89" s="289"/>
      <c r="R89" s="289"/>
      <c r="S89" s="289"/>
    </row>
    <row r="90" spans="13:19" x14ac:dyDescent="0.2">
      <c r="M90" s="289"/>
      <c r="N90" s="289"/>
      <c r="O90" s="289"/>
      <c r="P90" s="289"/>
      <c r="Q90" s="289"/>
      <c r="R90" s="289"/>
      <c r="S90" s="289"/>
    </row>
    <row r="92" spans="13:19" x14ac:dyDescent="0.2">
      <c r="M92" s="290" t="s">
        <v>258</v>
      </c>
    </row>
    <row r="94" spans="13:19" x14ac:dyDescent="0.2">
      <c r="M94" s="289" t="s">
        <v>347</v>
      </c>
      <c r="N94" s="289"/>
      <c r="O94" s="289"/>
      <c r="P94" s="289"/>
      <c r="Q94" s="289"/>
      <c r="R94" s="289"/>
      <c r="S94" s="289"/>
    </row>
    <row r="95" spans="13:19" x14ac:dyDescent="0.2">
      <c r="M95" s="289"/>
      <c r="N95" s="289"/>
      <c r="O95" s="289"/>
      <c r="P95" s="289"/>
      <c r="Q95" s="289"/>
      <c r="R95" s="289"/>
      <c r="S95" s="289"/>
    </row>
    <row r="96" spans="13:19" x14ac:dyDescent="0.2">
      <c r="M96" s="289"/>
      <c r="N96" s="289"/>
      <c r="O96" s="289"/>
      <c r="P96" s="289"/>
      <c r="Q96" s="289"/>
      <c r="R96" s="289"/>
      <c r="S96" s="289"/>
    </row>
  </sheetData>
  <mergeCells count="22">
    <mergeCell ref="N60:S61"/>
    <mergeCell ref="M7:S8"/>
    <mergeCell ref="M12:S15"/>
    <mergeCell ref="M24:S25"/>
    <mergeCell ref="M27:S28"/>
    <mergeCell ref="N34:S35"/>
    <mergeCell ref="N63:S65"/>
    <mergeCell ref="B9:I10"/>
    <mergeCell ref="B38:I39"/>
    <mergeCell ref="B42:I43"/>
    <mergeCell ref="B46:I47"/>
    <mergeCell ref="N37:S38"/>
    <mergeCell ref="N42:S45"/>
    <mergeCell ref="M47:S48"/>
    <mergeCell ref="N50:S51"/>
    <mergeCell ref="N53:S54"/>
    <mergeCell ref="M94:S96"/>
    <mergeCell ref="N67:S69"/>
    <mergeCell ref="M73:S74"/>
    <mergeCell ref="M78:S79"/>
    <mergeCell ref="M81:S83"/>
    <mergeCell ref="M89:S9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139CA-8434-9349-9300-73867432625A}">
  <dimension ref="A1:BM179"/>
  <sheetViews>
    <sheetView zoomScaleNormal="100" workbookViewId="0"/>
  </sheetViews>
  <sheetFormatPr baseColWidth="10" defaultColWidth="10.83203125" defaultRowHeight="16" outlineLevelCol="1" x14ac:dyDescent="0.2"/>
  <cols>
    <col min="1" max="1" width="4.6640625" style="36" customWidth="1"/>
    <col min="2" max="10" width="10.83203125" style="36"/>
    <col min="11" max="11" width="11.5" style="36" bestFit="1" customWidth="1"/>
    <col min="12" max="22" width="10.83203125" style="36" hidden="1" customWidth="1" outlineLevel="1"/>
    <col min="23" max="23" width="10.83203125" style="36" collapsed="1"/>
    <col min="24" max="16384" width="10.83203125" style="36"/>
  </cols>
  <sheetData>
    <row r="1" spans="1:22" ht="19" x14ac:dyDescent="0.25">
      <c r="A1" s="1" t="s">
        <v>196</v>
      </c>
      <c r="B1" s="19"/>
      <c r="C1" s="33"/>
      <c r="D1" s="33"/>
      <c r="E1" s="33"/>
      <c r="F1" s="34"/>
      <c r="G1" s="34"/>
      <c r="H1" s="34"/>
      <c r="I1" s="34"/>
      <c r="J1" s="35"/>
      <c r="K1" s="3" t="s">
        <v>177</v>
      </c>
    </row>
    <row r="2" spans="1:22" x14ac:dyDescent="0.2">
      <c r="A2" s="2"/>
      <c r="B2" s="34"/>
      <c r="C2" s="34"/>
      <c r="D2" s="34"/>
      <c r="E2" s="34"/>
      <c r="F2" s="34"/>
      <c r="G2" s="34"/>
      <c r="H2" s="34"/>
      <c r="I2" s="34"/>
      <c r="J2" s="35"/>
      <c r="L2" s="7" t="s">
        <v>3</v>
      </c>
      <c r="V2" s="5"/>
    </row>
    <row r="3" spans="1:22" x14ac:dyDescent="0.2">
      <c r="A3" s="2"/>
      <c r="B3" s="34" t="s">
        <v>6</v>
      </c>
      <c r="C3" s="34"/>
      <c r="D3" s="34"/>
      <c r="E3" s="34"/>
      <c r="F3" s="34"/>
      <c r="G3" s="34"/>
      <c r="H3" s="34"/>
      <c r="I3" s="34"/>
      <c r="J3" s="35"/>
      <c r="L3" s="7"/>
      <c r="M3" s="7" t="s">
        <v>206</v>
      </c>
      <c r="N3" s="38"/>
      <c r="V3" s="5"/>
    </row>
    <row r="4" spans="1:22" x14ac:dyDescent="0.2">
      <c r="A4" s="2"/>
      <c r="B4" s="34"/>
      <c r="C4" s="34"/>
      <c r="D4" s="34"/>
      <c r="E4" s="34"/>
      <c r="F4" s="34"/>
      <c r="G4" s="34"/>
      <c r="H4" s="34"/>
      <c r="I4" s="34"/>
      <c r="J4" s="35"/>
      <c r="L4" s="7"/>
      <c r="M4" s="7"/>
      <c r="N4" s="38"/>
      <c r="V4" s="5"/>
    </row>
    <row r="5" spans="1:22" x14ac:dyDescent="0.2">
      <c r="A5" s="2"/>
      <c r="B5" s="34"/>
      <c r="C5" s="151" t="s">
        <v>55</v>
      </c>
      <c r="D5" s="151"/>
      <c r="E5" s="151"/>
      <c r="F5" s="151"/>
      <c r="G5" s="34"/>
      <c r="H5" s="34"/>
      <c r="I5" s="34"/>
      <c r="J5" s="35"/>
      <c r="R5" s="157" t="s">
        <v>22</v>
      </c>
      <c r="V5" s="5"/>
    </row>
    <row r="6" spans="1:22" ht="17" x14ac:dyDescent="0.2">
      <c r="A6" s="2"/>
      <c r="B6" s="34"/>
      <c r="C6" s="159" t="s">
        <v>7</v>
      </c>
      <c r="D6" s="34"/>
      <c r="E6" s="34"/>
      <c r="F6" s="34"/>
      <c r="G6" s="34"/>
      <c r="H6" s="34"/>
      <c r="I6" s="34"/>
      <c r="J6" s="35"/>
      <c r="M6" s="39" t="s">
        <v>17</v>
      </c>
      <c r="N6" s="40" t="s">
        <v>18</v>
      </c>
      <c r="O6" s="40" t="s">
        <v>19</v>
      </c>
      <c r="P6" s="40" t="s">
        <v>20</v>
      </c>
      <c r="Q6" s="40" t="s">
        <v>21</v>
      </c>
      <c r="R6" s="158"/>
      <c r="S6" s="41" t="s">
        <v>25</v>
      </c>
    </row>
    <row r="7" spans="1:22" ht="17" x14ac:dyDescent="0.2">
      <c r="A7" s="2"/>
      <c r="B7" s="34"/>
      <c r="C7" s="160"/>
      <c r="D7" s="12" t="s">
        <v>8</v>
      </c>
      <c r="E7" s="12" t="s">
        <v>9</v>
      </c>
      <c r="F7" s="12" t="s">
        <v>10</v>
      </c>
      <c r="G7" s="34"/>
      <c r="H7" s="34"/>
      <c r="I7" s="34"/>
      <c r="J7" s="35"/>
      <c r="M7" s="42">
        <f>C8</f>
        <v>2013</v>
      </c>
      <c r="N7" s="43">
        <f>N8+12</f>
        <v>36</v>
      </c>
      <c r="O7" s="43">
        <f>N7-6</f>
        <v>30</v>
      </c>
      <c r="P7" s="44">
        <f>1-EXP(-((O7/$D$16)^$D$17))</f>
        <v>0.82692258492289705</v>
      </c>
      <c r="Q7" s="45">
        <f>1/P7</f>
        <v>1.2093030450888469</v>
      </c>
      <c r="R7" s="46">
        <f>SUM(D8:F8)</f>
        <v>2410</v>
      </c>
      <c r="S7" s="47">
        <f>R7*Q7</f>
        <v>2914.4203386641211</v>
      </c>
    </row>
    <row r="8" spans="1:22" x14ac:dyDescent="0.2">
      <c r="A8" s="2"/>
      <c r="B8" s="34"/>
      <c r="C8" s="10">
        <v>2013</v>
      </c>
      <c r="D8" s="6">
        <v>830</v>
      </c>
      <c r="E8" s="6">
        <v>920</v>
      </c>
      <c r="F8" s="6">
        <v>660</v>
      </c>
      <c r="G8" s="34"/>
      <c r="H8" s="34"/>
      <c r="I8" s="34"/>
      <c r="J8" s="35"/>
      <c r="M8" s="42">
        <f>C9</f>
        <v>2014</v>
      </c>
      <c r="N8" s="43">
        <f t="shared" ref="N8" si="0">N9+12</f>
        <v>24</v>
      </c>
      <c r="O8" s="43">
        <f t="shared" ref="O8" si="1">N8-6</f>
        <v>18</v>
      </c>
      <c r="P8" s="44">
        <f t="shared" ref="P8:P9" si="2">1-EXP(-((O8/$D$16)^$D$17))</f>
        <v>0.63212055882855767</v>
      </c>
      <c r="Q8" s="45">
        <f t="shared" ref="Q8:Q9" si="3">1/P8</f>
        <v>1.5819767068693265</v>
      </c>
      <c r="R8" s="46">
        <f>SUM(D9:F9)</f>
        <v>1940</v>
      </c>
      <c r="S8" s="48">
        <f>R8*Q8</f>
        <v>3069.0348113264931</v>
      </c>
    </row>
    <row r="9" spans="1:22" x14ac:dyDescent="0.2">
      <c r="A9" s="2"/>
      <c r="B9" s="34"/>
      <c r="C9" s="10">
        <v>2014</v>
      </c>
      <c r="D9" s="6">
        <v>720</v>
      </c>
      <c r="E9" s="14">
        <v>1220</v>
      </c>
      <c r="F9" s="6"/>
      <c r="G9" s="34"/>
      <c r="H9" s="34"/>
      <c r="I9" s="34"/>
      <c r="J9" s="35"/>
      <c r="L9" s="7"/>
      <c r="M9" s="77">
        <f>C10</f>
        <v>2015</v>
      </c>
      <c r="N9" s="40">
        <v>12</v>
      </c>
      <c r="O9" s="78">
        <f>N9-6</f>
        <v>6</v>
      </c>
      <c r="P9" s="79">
        <f t="shared" si="2"/>
        <v>0.25818309123313099</v>
      </c>
      <c r="Q9" s="99">
        <f t="shared" si="3"/>
        <v>3.8732203384188018</v>
      </c>
      <c r="R9" s="100">
        <f>SUM(D10:F10)</f>
        <v>960</v>
      </c>
      <c r="S9" s="101">
        <f>R9*Q9</f>
        <v>3718.2915248820495</v>
      </c>
    </row>
    <row r="10" spans="1:22" x14ac:dyDescent="0.2">
      <c r="A10" s="2"/>
      <c r="B10" s="34"/>
      <c r="C10" s="10">
        <v>2015</v>
      </c>
      <c r="D10" s="6">
        <v>960</v>
      </c>
      <c r="E10" s="6"/>
      <c r="F10" s="6"/>
      <c r="G10" s="34"/>
      <c r="H10" s="34"/>
      <c r="I10" s="34"/>
      <c r="J10" s="35"/>
      <c r="M10" s="57"/>
      <c r="Q10" s="45"/>
      <c r="R10" s="46">
        <f t="shared" ref="R10:S10" si="4">SUM(R7:R9)</f>
        <v>5310</v>
      </c>
      <c r="S10" s="46">
        <f t="shared" si="4"/>
        <v>9701.7466748726638</v>
      </c>
    </row>
    <row r="11" spans="1:22" x14ac:dyDescent="0.2">
      <c r="A11" s="2"/>
      <c r="B11" s="34"/>
      <c r="C11" s="34"/>
      <c r="D11" s="34"/>
      <c r="E11" s="34"/>
      <c r="F11" s="34"/>
      <c r="G11" s="34"/>
      <c r="H11" s="34"/>
      <c r="I11" s="34"/>
      <c r="J11" s="35"/>
    </row>
    <row r="12" spans="1:22" x14ac:dyDescent="0.2">
      <c r="A12" s="2"/>
      <c r="B12" s="119" t="s">
        <v>57</v>
      </c>
      <c r="C12" s="34"/>
      <c r="D12" s="34"/>
      <c r="E12" s="34">
        <v>60.62</v>
      </c>
      <c r="F12" s="34"/>
      <c r="G12" s="34"/>
      <c r="H12" s="34"/>
      <c r="I12" s="34"/>
      <c r="J12" s="35"/>
    </row>
    <row r="13" spans="1:22" x14ac:dyDescent="0.2">
      <c r="A13" s="2"/>
      <c r="B13" s="34"/>
      <c r="C13" s="34"/>
      <c r="D13" s="34"/>
      <c r="E13" s="34"/>
      <c r="F13" s="34"/>
      <c r="G13" s="34"/>
      <c r="H13" s="34"/>
      <c r="I13" s="34"/>
      <c r="J13" s="35"/>
      <c r="M13" s="7" t="s">
        <v>207</v>
      </c>
      <c r="S13" s="7" t="s">
        <v>30</v>
      </c>
    </row>
    <row r="14" spans="1:22" x14ac:dyDescent="0.2">
      <c r="A14" s="2"/>
      <c r="B14" s="34" t="s">
        <v>56</v>
      </c>
      <c r="C14" s="34"/>
      <c r="D14" s="34"/>
      <c r="E14" s="34"/>
      <c r="F14" s="34"/>
      <c r="G14" s="34"/>
      <c r="H14" s="34"/>
      <c r="I14" s="34"/>
      <c r="J14" s="35"/>
      <c r="M14" s="9"/>
      <c r="V14" s="29"/>
    </row>
    <row r="15" spans="1:22" ht="17" x14ac:dyDescent="0.2">
      <c r="A15" s="2"/>
      <c r="B15" s="34"/>
      <c r="C15" s="34"/>
      <c r="D15" s="34"/>
      <c r="E15" s="34"/>
      <c r="F15" s="34"/>
      <c r="G15" s="34"/>
      <c r="H15" s="34"/>
      <c r="I15" s="34"/>
      <c r="J15" s="35"/>
      <c r="M15" s="58" t="s">
        <v>17</v>
      </c>
      <c r="N15" s="40">
        <v>12</v>
      </c>
      <c r="O15" s="40">
        <v>24</v>
      </c>
      <c r="P15" s="40">
        <v>36</v>
      </c>
      <c r="Q15" s="43" t="s">
        <v>25</v>
      </c>
      <c r="S15" s="59" t="s">
        <v>17</v>
      </c>
      <c r="T15" s="60">
        <v>12</v>
      </c>
      <c r="U15" s="60">
        <v>24</v>
      </c>
      <c r="V15" s="60">
        <v>36</v>
      </c>
    </row>
    <row r="16" spans="1:22" x14ac:dyDescent="0.2">
      <c r="A16" s="2"/>
      <c r="B16" s="34"/>
      <c r="C16" s="61" t="s">
        <v>13</v>
      </c>
      <c r="D16" s="62">
        <v>18</v>
      </c>
      <c r="E16" s="34"/>
      <c r="F16" s="34"/>
      <c r="G16" s="34"/>
      <c r="H16" s="34"/>
      <c r="I16" s="34"/>
      <c r="J16" s="35"/>
      <c r="M16" s="63">
        <f>C8</f>
        <v>2013</v>
      </c>
      <c r="N16" s="48">
        <f>$Q16*N$20</f>
        <v>752.45405218901135</v>
      </c>
      <c r="O16" s="48">
        <f>$Q16*O$20</f>
        <v>1089.8109609486671</v>
      </c>
      <c r="P16" s="48">
        <f>$Q16*P$20</f>
        <v>567.73498686232153</v>
      </c>
      <c r="Q16" s="64">
        <f>S7</f>
        <v>2914.4203386641211</v>
      </c>
      <c r="S16" s="30">
        <f>C8</f>
        <v>2013</v>
      </c>
      <c r="T16" s="29">
        <f>D8</f>
        <v>830</v>
      </c>
      <c r="U16" s="29">
        <f>E8</f>
        <v>920</v>
      </c>
      <c r="V16" s="29">
        <f>F8</f>
        <v>660</v>
      </c>
    </row>
    <row r="17" spans="1:21" x14ac:dyDescent="0.2">
      <c r="A17" s="2"/>
      <c r="B17" s="34"/>
      <c r="C17" s="61" t="s">
        <v>14</v>
      </c>
      <c r="D17" s="62">
        <v>1.1000000000000001</v>
      </c>
      <c r="E17" s="34"/>
      <c r="F17" s="34"/>
      <c r="G17" s="34"/>
      <c r="H17" s="34"/>
      <c r="I17" s="34"/>
      <c r="J17" s="35"/>
      <c r="M17" s="63">
        <f>C9</f>
        <v>2014</v>
      </c>
      <c r="N17" s="48">
        <f>$Q17*N$20</f>
        <v>792.37289469036295</v>
      </c>
      <c r="O17" s="48">
        <f>$Q17*O$20</f>
        <v>1147.627105309637</v>
      </c>
      <c r="P17" s="48"/>
      <c r="Q17" s="64">
        <f t="shared" ref="Q17:Q18" si="5">S8</f>
        <v>3069.0348113264931</v>
      </c>
      <c r="S17" s="30">
        <f>C9</f>
        <v>2014</v>
      </c>
      <c r="T17" s="29">
        <f>D9</f>
        <v>720</v>
      </c>
      <c r="U17" s="29">
        <f>E9</f>
        <v>1220</v>
      </c>
    </row>
    <row r="18" spans="1:21" x14ac:dyDescent="0.2">
      <c r="A18" s="2"/>
      <c r="B18" s="34"/>
      <c r="C18" s="34"/>
      <c r="D18" s="34"/>
      <c r="E18" s="34"/>
      <c r="F18" s="34"/>
      <c r="G18" s="34"/>
      <c r="H18" s="34"/>
      <c r="I18" s="34"/>
      <c r="J18" s="35"/>
      <c r="M18" s="63">
        <f>C10</f>
        <v>2015</v>
      </c>
      <c r="N18" s="48">
        <f>$Q18*N$20</f>
        <v>960</v>
      </c>
      <c r="O18" s="48"/>
      <c r="P18" s="48"/>
      <c r="Q18" s="64">
        <f t="shared" si="5"/>
        <v>3718.2915248820495</v>
      </c>
      <c r="S18" s="30">
        <f>C10</f>
        <v>2015</v>
      </c>
      <c r="T18" s="29">
        <f>D10</f>
        <v>960</v>
      </c>
      <c r="U18" s="29"/>
    </row>
    <row r="19" spans="1:21" x14ac:dyDescent="0.2">
      <c r="A19" s="2"/>
      <c r="B19" s="119" t="s">
        <v>216</v>
      </c>
      <c r="C19" s="34"/>
      <c r="D19" s="34"/>
      <c r="E19" s="34"/>
      <c r="F19" s="34"/>
      <c r="G19" s="65"/>
      <c r="H19" s="34"/>
      <c r="I19" s="34"/>
      <c r="J19" s="35"/>
      <c r="L19" s="7"/>
    </row>
    <row r="20" spans="1:21" x14ac:dyDescent="0.2">
      <c r="A20" s="2"/>
      <c r="B20" s="34"/>
      <c r="C20" s="34"/>
      <c r="D20" s="34"/>
      <c r="E20" s="34"/>
      <c r="F20" s="34"/>
      <c r="G20" s="34"/>
      <c r="H20" s="34"/>
      <c r="I20" s="34"/>
      <c r="J20" s="35"/>
      <c r="M20" s="36" t="s">
        <v>31</v>
      </c>
      <c r="N20" s="44">
        <f>P9</f>
        <v>0.25818309123313099</v>
      </c>
      <c r="O20" s="44">
        <f>P8-P9</f>
        <v>0.37393746759542668</v>
      </c>
      <c r="P20" s="44">
        <f>P7-P8</f>
        <v>0.19480202609433939</v>
      </c>
    </row>
    <row r="21" spans="1:21" x14ac:dyDescent="0.2">
      <c r="A21" s="2"/>
      <c r="B21" s="34"/>
      <c r="C21" s="34"/>
      <c r="D21" s="34"/>
      <c r="E21" s="34"/>
      <c r="F21" s="34"/>
      <c r="G21" s="34"/>
      <c r="H21" s="34"/>
      <c r="I21" s="34"/>
      <c r="J21" s="35"/>
    </row>
    <row r="22" spans="1:21" x14ac:dyDescent="0.2">
      <c r="A22" s="108" t="s">
        <v>0</v>
      </c>
      <c r="B22" s="108" t="s">
        <v>58</v>
      </c>
      <c r="C22" s="34"/>
      <c r="D22" s="34"/>
      <c r="E22" s="34"/>
      <c r="F22" s="34"/>
      <c r="G22" s="34"/>
      <c r="H22" s="34"/>
      <c r="I22" s="34"/>
      <c r="J22" s="35"/>
    </row>
    <row r="23" spans="1:21" ht="34" x14ac:dyDescent="0.2">
      <c r="A23" s="108" t="s">
        <v>1</v>
      </c>
      <c r="B23" s="108" t="s">
        <v>59</v>
      </c>
      <c r="C23" s="34"/>
      <c r="D23" s="34"/>
      <c r="E23" s="34"/>
      <c r="F23" s="34"/>
      <c r="G23" s="34"/>
      <c r="H23" s="34"/>
      <c r="I23" s="34"/>
      <c r="J23" s="35"/>
      <c r="M23" s="7" t="s">
        <v>61</v>
      </c>
      <c r="R23" s="32" t="s">
        <v>62</v>
      </c>
      <c r="S23" s="31" t="s">
        <v>63</v>
      </c>
    </row>
    <row r="24" spans="1:21" x14ac:dyDescent="0.2">
      <c r="A24" s="2"/>
      <c r="B24" s="108" t="s">
        <v>60</v>
      </c>
      <c r="C24" s="34"/>
      <c r="D24" s="34"/>
      <c r="E24" s="34"/>
      <c r="F24" s="34"/>
      <c r="G24" s="34"/>
      <c r="H24" s="34"/>
      <c r="I24" s="34"/>
      <c r="J24" s="35"/>
      <c r="R24" s="122">
        <v>2013</v>
      </c>
      <c r="S24" s="15">
        <f>N26</f>
        <v>0.36308737637020289</v>
      </c>
    </row>
    <row r="25" spans="1:21" x14ac:dyDescent="0.2">
      <c r="A25" s="2"/>
      <c r="B25" s="34"/>
      <c r="C25" s="34"/>
      <c r="D25" s="34"/>
      <c r="E25" s="34"/>
      <c r="F25" s="34"/>
      <c r="G25" s="34"/>
      <c r="H25" s="34"/>
      <c r="I25" s="34"/>
      <c r="J25" s="35"/>
      <c r="M25" s="58" t="s">
        <v>17</v>
      </c>
      <c r="N25" s="66">
        <v>12</v>
      </c>
      <c r="O25" s="66">
        <v>24</v>
      </c>
      <c r="P25" s="66">
        <v>36</v>
      </c>
      <c r="R25" s="122">
        <v>2014</v>
      </c>
      <c r="S25" s="15">
        <f>O26</f>
        <v>-0.66066632042561557</v>
      </c>
    </row>
    <row r="26" spans="1:21" ht="17" thickBot="1" x14ac:dyDescent="0.25">
      <c r="A26" s="2"/>
      <c r="B26" s="109"/>
      <c r="C26" s="34"/>
      <c r="D26" s="34"/>
      <c r="E26" s="34"/>
      <c r="F26" s="34"/>
      <c r="G26" s="34"/>
      <c r="H26" s="34"/>
      <c r="I26" s="34"/>
      <c r="J26" s="35"/>
      <c r="M26" s="63">
        <f>C8</f>
        <v>2013</v>
      </c>
      <c r="N26" s="67">
        <f>(T16-N16)/SQRT($E$12*N16)</f>
        <v>0.36308737637020289</v>
      </c>
      <c r="O26" s="67">
        <f>(U16-O16)/SQRT($E$12*O16)</f>
        <v>-0.66066632042561557</v>
      </c>
      <c r="P26" s="67">
        <f>(V16-P16)/SQRT($E$12*P16)</f>
        <v>0.49734327815108004</v>
      </c>
      <c r="R26" s="122">
        <v>2014</v>
      </c>
      <c r="S26" s="15">
        <f>N27</f>
        <v>-0.33021984707746238</v>
      </c>
    </row>
    <row r="27" spans="1:21" ht="17" thickBot="1" x14ac:dyDescent="0.25">
      <c r="A27" s="152" t="s">
        <v>176</v>
      </c>
      <c r="B27" s="153"/>
      <c r="C27" s="153"/>
      <c r="D27" s="153"/>
      <c r="E27" s="153"/>
      <c r="F27" s="153"/>
      <c r="G27" s="153"/>
      <c r="H27" s="153"/>
      <c r="I27" s="153"/>
      <c r="J27" s="154"/>
      <c r="M27" s="63">
        <f>C9</f>
        <v>2014</v>
      </c>
      <c r="N27" s="67">
        <f>(T17-N17)/SQRT($E$12*N17)</f>
        <v>-0.33021984707746238</v>
      </c>
      <c r="O27" s="67">
        <f>(U17-O17)/SQRT($E$12*O17)</f>
        <v>0.27438955719363894</v>
      </c>
      <c r="P27" s="48"/>
      <c r="R27" s="122">
        <v>2015</v>
      </c>
      <c r="S27" s="15">
        <f>P26</f>
        <v>0.49734327815108004</v>
      </c>
    </row>
    <row r="28" spans="1:21" x14ac:dyDescent="0.2">
      <c r="M28" s="63">
        <f>C10</f>
        <v>2015</v>
      </c>
      <c r="N28" s="67">
        <f>(T18-N18)/SQRT($E$12*N18)</f>
        <v>0</v>
      </c>
      <c r="O28" s="48"/>
      <c r="P28" s="48"/>
      <c r="R28" s="122">
        <v>2015</v>
      </c>
      <c r="S28" s="15">
        <f>O27</f>
        <v>0.27438955719363894</v>
      </c>
    </row>
    <row r="29" spans="1:21" ht="19" x14ac:dyDescent="0.25">
      <c r="A29" s="3"/>
      <c r="R29" s="122">
        <v>2015</v>
      </c>
      <c r="S29" s="15">
        <f>N28</f>
        <v>0</v>
      </c>
    </row>
    <row r="30" spans="1:21" x14ac:dyDescent="0.2">
      <c r="M30" s="7" t="s">
        <v>64</v>
      </c>
    </row>
    <row r="46" spans="12:20" x14ac:dyDescent="0.2">
      <c r="L46" s="7" t="s">
        <v>4</v>
      </c>
    </row>
    <row r="47" spans="12:20" ht="16" customHeight="1" x14ac:dyDescent="0.2">
      <c r="L47" s="156" t="s">
        <v>65</v>
      </c>
      <c r="M47" s="156"/>
      <c r="N47" s="156"/>
      <c r="O47" s="156"/>
      <c r="P47" s="156"/>
      <c r="Q47" s="156"/>
      <c r="R47" s="156"/>
      <c r="S47" s="156"/>
      <c r="T47" s="84"/>
    </row>
    <row r="48" spans="12:20" ht="15.5" customHeight="1" x14ac:dyDescent="0.2">
      <c r="L48" s="156"/>
      <c r="M48" s="156"/>
      <c r="N48" s="156"/>
      <c r="O48" s="156"/>
      <c r="P48" s="156"/>
      <c r="Q48" s="156"/>
      <c r="R48" s="156"/>
      <c r="S48" s="156"/>
    </row>
    <row r="49" spans="12:19" x14ac:dyDescent="0.2">
      <c r="L49" s="156"/>
      <c r="M49" s="156"/>
      <c r="N49" s="156"/>
      <c r="O49" s="156"/>
      <c r="P49" s="156"/>
      <c r="Q49" s="156"/>
      <c r="R49" s="156"/>
      <c r="S49" s="156"/>
    </row>
    <row r="50" spans="12:19" x14ac:dyDescent="0.2">
      <c r="L50" s="5"/>
      <c r="M50" s="5"/>
      <c r="N50" s="5"/>
    </row>
    <row r="51" spans="12:19" x14ac:dyDescent="0.2">
      <c r="L51" s="5"/>
      <c r="M51" s="5"/>
      <c r="N51" s="5"/>
    </row>
    <row r="52" spans="12:19" ht="19" x14ac:dyDescent="0.25">
      <c r="L52" s="3" t="s">
        <v>220</v>
      </c>
      <c r="M52" s="5"/>
      <c r="N52" s="5"/>
    </row>
    <row r="53" spans="12:19" x14ac:dyDescent="0.2">
      <c r="L53" s="113" t="s">
        <v>223</v>
      </c>
      <c r="M53" s="5"/>
      <c r="N53" s="5"/>
    </row>
    <row r="54" spans="12:19" x14ac:dyDescent="0.2">
      <c r="L54" s="5"/>
      <c r="M54" s="5"/>
      <c r="N54" s="5"/>
    </row>
    <row r="55" spans="12:19" x14ac:dyDescent="0.2">
      <c r="L55" s="5"/>
      <c r="M55" s="5"/>
      <c r="N55" s="5"/>
    </row>
    <row r="56" spans="12:19" x14ac:dyDescent="0.2">
      <c r="L56" s="5"/>
      <c r="M56" s="5"/>
      <c r="N56" s="5"/>
    </row>
    <row r="57" spans="12:19" x14ac:dyDescent="0.2">
      <c r="L57" s="5"/>
      <c r="M57" s="5"/>
      <c r="N57" s="5"/>
    </row>
    <row r="58" spans="12:19" x14ac:dyDescent="0.2">
      <c r="L58" s="5"/>
      <c r="M58" s="5"/>
      <c r="N58" s="5"/>
    </row>
    <row r="59" spans="12:19" x14ac:dyDescent="0.2">
      <c r="L59" s="5"/>
      <c r="M59" s="5"/>
      <c r="N59" s="5"/>
    </row>
    <row r="60" spans="12:19" x14ac:dyDescent="0.2">
      <c r="L60" s="5"/>
      <c r="M60" s="5"/>
      <c r="N60" s="5"/>
    </row>
    <row r="61" spans="12:19" x14ac:dyDescent="0.2">
      <c r="L61" s="5"/>
      <c r="M61" s="5"/>
      <c r="N61" s="5"/>
    </row>
    <row r="62" spans="12:19" x14ac:dyDescent="0.2">
      <c r="L62" s="5"/>
      <c r="M62" s="5"/>
      <c r="N62" s="5"/>
    </row>
    <row r="63" spans="12:19" x14ac:dyDescent="0.2">
      <c r="L63" s="5"/>
      <c r="M63" s="5"/>
      <c r="N63" s="5"/>
    </row>
    <row r="64" spans="12:19" x14ac:dyDescent="0.2">
      <c r="L64" s="5"/>
      <c r="M64" s="5"/>
      <c r="N64" s="5"/>
    </row>
    <row r="65" spans="1:65" x14ac:dyDescent="0.2">
      <c r="L65" s="5"/>
      <c r="M65" s="5"/>
      <c r="N65" s="5"/>
    </row>
    <row r="66" spans="1:65" x14ac:dyDescent="0.2">
      <c r="L66" s="5"/>
      <c r="M66" s="5"/>
      <c r="N66" s="5"/>
    </row>
    <row r="67" spans="1:65" x14ac:dyDescent="0.2">
      <c r="M67" s="38"/>
    </row>
    <row r="68" spans="1:65" x14ac:dyDescent="0.2">
      <c r="L68" s="5"/>
      <c r="M68" s="5"/>
      <c r="N68" s="5"/>
    </row>
    <row r="69" spans="1:65" x14ac:dyDescent="0.2">
      <c r="L69" s="5"/>
      <c r="M69" s="5"/>
      <c r="N69" s="5"/>
    </row>
    <row r="70" spans="1:65" x14ac:dyDescent="0.2">
      <c r="L70" s="5"/>
      <c r="M70" s="5"/>
      <c r="N70" s="5"/>
    </row>
    <row r="71" spans="1:65" x14ac:dyDescent="0.2">
      <c r="L71" s="5"/>
      <c r="M71" s="5"/>
      <c r="N71" s="5"/>
    </row>
    <row r="72" spans="1:65" x14ac:dyDescent="0.2">
      <c r="L72" s="5"/>
      <c r="M72" s="5"/>
      <c r="N72" s="5"/>
    </row>
    <row r="73" spans="1:65" x14ac:dyDescent="0.2">
      <c r="L73" s="5"/>
      <c r="M73" s="5"/>
      <c r="N73" s="5"/>
    </row>
    <row r="74" spans="1:65" x14ac:dyDescent="0.2">
      <c r="L74" s="5"/>
      <c r="M74" s="5"/>
      <c r="N74" s="5"/>
    </row>
    <row r="75" spans="1:65" x14ac:dyDescent="0.2">
      <c r="L75" s="5"/>
      <c r="M75" s="5"/>
      <c r="N75" s="5"/>
    </row>
    <row r="76" spans="1:65" x14ac:dyDescent="0.2">
      <c r="L76" s="5"/>
      <c r="M76" s="5"/>
      <c r="N76" s="5"/>
    </row>
    <row r="77" spans="1:65" x14ac:dyDescent="0.2">
      <c r="M77" s="38"/>
    </row>
    <row r="78" spans="1:65"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row>
    <row r="79" spans="1:65"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row>
    <row r="80" spans="1:65"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row>
    <row r="81" spans="1:65"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row>
    <row r="82" spans="1:65"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row>
    <row r="83" spans="1:65"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row>
    <row r="84" spans="1:65"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row>
    <row r="85" spans="1:65"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row>
    <row r="86" spans="1:65"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row>
    <row r="87" spans="1:65"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row>
    <row r="88" spans="1:65"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row>
    <row r="89" spans="1:65"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row>
    <row r="90" spans="1:65"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row>
    <row r="91" spans="1:65"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row>
    <row r="92" spans="1:65"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row>
    <row r="93" spans="1:65"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row>
    <row r="94" spans="1:65"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row>
    <row r="95" spans="1:65"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row>
    <row r="96" spans="1:65"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row>
    <row r="97" spans="1:65"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row>
    <row r="98" spans="1:65"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row>
    <row r="99" spans="1:65"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row>
    <row r="100" spans="1:65"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row>
    <row r="101" spans="1:65"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row>
    <row r="102" spans="1:65"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row>
    <row r="103" spans="1:65"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row>
    <row r="104" spans="1:65"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row>
    <row r="105" spans="1:65"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row>
    <row r="106" spans="1:65"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row>
    <row r="107" spans="1:65"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row>
    <row r="108" spans="1:65"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row>
    <row r="109" spans="1:65"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row>
    <row r="110" spans="1:65"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row>
    <row r="111" spans="1:65"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row>
    <row r="112" spans="1:65"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row>
    <row r="113" spans="1:65"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row>
    <row r="114" spans="1:65"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row>
    <row r="115" spans="1:65"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row>
    <row r="116" spans="1:65"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row>
    <row r="117" spans="1:65"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row>
    <row r="118" spans="1:65"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row>
    <row r="119" spans="1:65"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row>
    <row r="120" spans="1:65"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row>
    <row r="121" spans="1:65"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row>
    <row r="122" spans="1:65"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row>
    <row r="123" spans="1:65"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row>
    <row r="124" spans="1:65"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row>
    <row r="125" spans="1:65"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row>
    <row r="126" spans="1:65"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row>
    <row r="127" spans="1:65"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row>
    <row r="128" spans="1:65"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row>
    <row r="129" spans="1:65"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row>
    <row r="130" spans="1:65"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row>
    <row r="131" spans="1:65"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row>
    <row r="132" spans="1:65"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row>
    <row r="133" spans="1:65"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row>
    <row r="134" spans="1:65"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row>
    <row r="135" spans="1:65"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row>
    <row r="136" spans="1:65"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row>
    <row r="137" spans="1:65"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row>
    <row r="138" spans="1:65"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row>
    <row r="139" spans="1:65"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row>
    <row r="140" spans="1:65"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row>
    <row r="141" spans="1:65"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row>
    <row r="142" spans="1:65"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row>
    <row r="143" spans="1:65"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row>
    <row r="144" spans="1:65"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row>
    <row r="145" spans="1:65"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row>
    <row r="146" spans="1:65"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row>
    <row r="147" spans="1:65"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row>
    <row r="148" spans="1:65"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row>
    <row r="149" spans="1:65"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row>
    <row r="150" spans="1:6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row>
    <row r="151" spans="1:6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row>
    <row r="152" spans="1:6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row>
    <row r="153" spans="1:6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row>
    <row r="154" spans="1:6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row>
    <row r="155" spans="1:6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row>
    <row r="156" spans="1:6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row>
    <row r="157" spans="1:6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row>
    <row r="158" spans="1:6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row>
    <row r="159" spans="1:6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row>
    <row r="160" spans="1:6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row>
    <row r="161" spans="1:6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row>
    <row r="162" spans="1:6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row>
    <row r="163" spans="1:6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row>
    <row r="164" spans="1:6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row>
    <row r="165" spans="1:6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row>
    <row r="166" spans="1:6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row>
    <row r="167" spans="1:6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row>
    <row r="168" spans="1:6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row>
    <row r="169" spans="1:6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row>
    <row r="170" spans="1:6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row>
    <row r="171" spans="1:6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row>
    <row r="172" spans="1:6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row>
    <row r="173" spans="1:6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row>
    <row r="174" spans="1:6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row>
    <row r="175" spans="1:6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row>
    <row r="176" spans="1:6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row>
    <row r="177" spans="1:6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row>
    <row r="178" spans="1:6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row>
    <row r="179" spans="1:6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row>
  </sheetData>
  <mergeCells count="5">
    <mergeCell ref="C5:F5"/>
    <mergeCell ref="A27:J27"/>
    <mergeCell ref="L47:S49"/>
    <mergeCell ref="R5:R6"/>
    <mergeCell ref="C6:C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A4743-F3A9-B94F-B56E-71D45E49E29C}">
  <dimension ref="A1:BM185"/>
  <sheetViews>
    <sheetView zoomScaleNormal="100" workbookViewId="0"/>
  </sheetViews>
  <sheetFormatPr baseColWidth="10" defaultColWidth="10.83203125" defaultRowHeight="16" outlineLevelCol="1" x14ac:dyDescent="0.2"/>
  <cols>
    <col min="1" max="1" width="4.6640625" style="36" customWidth="1"/>
    <col min="2" max="2" width="11.5" style="36" customWidth="1"/>
    <col min="3" max="3" width="12.1640625" style="36" bestFit="1" customWidth="1"/>
    <col min="4" max="4" width="11.6640625" style="36" customWidth="1"/>
    <col min="5" max="10" width="10.83203125" style="36"/>
    <col min="11" max="11" width="11.5" style="36" bestFit="1" customWidth="1"/>
    <col min="12" max="12" width="10.83203125" style="36" hidden="1" customWidth="1" outlineLevel="1"/>
    <col min="13" max="13" width="15.1640625" style="36" hidden="1" customWidth="1" outlineLevel="1"/>
    <col min="14" max="20" width="10.83203125" style="36" hidden="1" customWidth="1" outlineLevel="1"/>
    <col min="21" max="21" width="10.83203125" style="36" collapsed="1"/>
    <col min="22" max="16384" width="10.83203125" style="36"/>
  </cols>
  <sheetData>
    <row r="1" spans="1:19" ht="19" x14ac:dyDescent="0.25">
      <c r="A1" s="1" t="s">
        <v>197</v>
      </c>
      <c r="B1" s="19"/>
      <c r="C1" s="33"/>
      <c r="D1" s="33"/>
      <c r="E1" s="33"/>
      <c r="F1" s="34"/>
      <c r="G1" s="34"/>
      <c r="H1" s="34"/>
      <c r="I1" s="34"/>
      <c r="J1" s="35"/>
      <c r="K1" s="3" t="s">
        <v>177</v>
      </c>
    </row>
    <row r="2" spans="1:19" x14ac:dyDescent="0.2">
      <c r="A2" s="2"/>
      <c r="B2" s="34"/>
      <c r="C2" s="34"/>
      <c r="D2" s="34"/>
      <c r="E2" s="34"/>
      <c r="F2" s="34"/>
      <c r="G2" s="34"/>
      <c r="H2" s="34"/>
      <c r="I2" s="34"/>
      <c r="J2" s="35"/>
      <c r="L2" s="7"/>
      <c r="M2" s="36" t="s">
        <v>74</v>
      </c>
      <c r="N2" s="38"/>
    </row>
    <row r="3" spans="1:19" x14ac:dyDescent="0.2">
      <c r="A3" s="2"/>
      <c r="B3" s="34" t="s">
        <v>66</v>
      </c>
      <c r="C3" s="34"/>
      <c r="D3" s="34"/>
      <c r="E3" s="34"/>
      <c r="F3" s="34"/>
      <c r="G3" s="34"/>
      <c r="H3" s="34"/>
      <c r="I3" s="34"/>
      <c r="J3" s="35"/>
    </row>
    <row r="4" spans="1:19" x14ac:dyDescent="0.2">
      <c r="A4" s="2"/>
      <c r="B4" s="34" t="s">
        <v>67</v>
      </c>
      <c r="C4" s="34"/>
      <c r="D4" s="34"/>
      <c r="E4" s="34"/>
      <c r="F4" s="34"/>
      <c r="G4" s="34"/>
      <c r="H4" s="34"/>
      <c r="I4" s="34"/>
      <c r="J4" s="35"/>
      <c r="M4" s="36" t="s">
        <v>80</v>
      </c>
      <c r="N4" s="83">
        <f>4700000*0.727</f>
        <v>3416900</v>
      </c>
      <c r="P4" s="68" t="s">
        <v>81</v>
      </c>
    </row>
    <row r="5" spans="1:19" x14ac:dyDescent="0.2">
      <c r="A5" s="2"/>
      <c r="B5" s="34"/>
      <c r="C5" s="34"/>
      <c r="D5" s="34"/>
      <c r="E5" s="34"/>
      <c r="F5" s="34"/>
      <c r="G5" s="34"/>
      <c r="H5" s="34"/>
      <c r="I5" s="34"/>
      <c r="J5" s="35"/>
    </row>
    <row r="6" spans="1:19" x14ac:dyDescent="0.2">
      <c r="A6" s="2"/>
      <c r="B6" s="34" t="s">
        <v>68</v>
      </c>
      <c r="C6" s="34"/>
      <c r="D6" s="34"/>
      <c r="E6" s="34"/>
      <c r="F6" s="34"/>
      <c r="G6" s="34"/>
      <c r="H6" s="34"/>
      <c r="I6" s="34"/>
      <c r="J6" s="35"/>
      <c r="M6" s="36" t="s">
        <v>75</v>
      </c>
      <c r="N6" s="104">
        <f>16000*N4</f>
        <v>54670400000</v>
      </c>
      <c r="P6" s="68" t="s">
        <v>82</v>
      </c>
    </row>
    <row r="7" spans="1:19" x14ac:dyDescent="0.2">
      <c r="A7" s="2"/>
      <c r="B7" s="34" t="s">
        <v>69</v>
      </c>
      <c r="C7" s="34"/>
      <c r="D7" s="34"/>
      <c r="E7" s="34"/>
      <c r="F7" s="34"/>
      <c r="G7" s="34"/>
      <c r="H7" s="34"/>
      <c r="I7" s="34"/>
      <c r="J7" s="35"/>
      <c r="N7" s="104"/>
    </row>
    <row r="8" spans="1:19" x14ac:dyDescent="0.2">
      <c r="A8" s="2"/>
      <c r="B8" s="34"/>
      <c r="C8" s="34"/>
      <c r="D8" s="34"/>
      <c r="E8" s="34"/>
      <c r="F8" s="34"/>
      <c r="G8" s="34"/>
      <c r="H8" s="34"/>
      <c r="I8" s="34"/>
      <c r="J8" s="35"/>
      <c r="M8" s="36" t="s">
        <v>76</v>
      </c>
      <c r="N8" s="104">
        <f>C12*4700000^2</f>
        <v>86151000000</v>
      </c>
      <c r="P8" s="68" t="s">
        <v>79</v>
      </c>
    </row>
    <row r="9" spans="1:19" x14ac:dyDescent="0.2">
      <c r="A9" s="2"/>
      <c r="B9" s="34" t="s">
        <v>70</v>
      </c>
      <c r="C9" s="34"/>
      <c r="D9" s="34"/>
      <c r="E9" s="34"/>
      <c r="F9" s="34"/>
      <c r="G9" s="34"/>
      <c r="H9" s="34"/>
      <c r="I9" s="34"/>
      <c r="J9" s="35"/>
    </row>
    <row r="10" spans="1:19" x14ac:dyDescent="0.2">
      <c r="A10" s="2"/>
      <c r="B10" s="34"/>
      <c r="C10" s="34"/>
      <c r="D10" s="34"/>
      <c r="E10" s="34"/>
      <c r="F10" s="34"/>
      <c r="G10" s="34"/>
      <c r="H10" s="34"/>
      <c r="I10" s="34"/>
      <c r="J10" s="35"/>
      <c r="M10" s="36" t="s">
        <v>78</v>
      </c>
      <c r="N10" s="83">
        <f>SQRT(N6+N8)</f>
        <v>375261.77529825765</v>
      </c>
    </row>
    <row r="11" spans="1:19" ht="17" thickBot="1" x14ac:dyDescent="0.25">
      <c r="A11" s="2"/>
      <c r="B11" s="105"/>
      <c r="C11" s="106" t="s">
        <v>47</v>
      </c>
      <c r="D11" s="106" t="s">
        <v>72</v>
      </c>
      <c r="E11" s="106" t="s">
        <v>71</v>
      </c>
      <c r="F11" s="34"/>
      <c r="G11" s="34"/>
      <c r="H11" s="34"/>
      <c r="I11" s="34"/>
      <c r="J11" s="35"/>
    </row>
    <row r="12" spans="1:19" ht="17" thickBot="1" x14ac:dyDescent="0.25">
      <c r="A12" s="2"/>
      <c r="B12" s="107" t="s">
        <v>47</v>
      </c>
      <c r="C12" s="62">
        <v>3.8999999999999998E-3</v>
      </c>
      <c r="D12" s="62">
        <v>-2.8999999999999998E-3</v>
      </c>
      <c r="E12" s="62">
        <v>0.31859999999999999</v>
      </c>
      <c r="F12" s="34"/>
      <c r="G12" s="34"/>
      <c r="H12" s="34"/>
      <c r="I12" s="34"/>
      <c r="J12" s="35"/>
      <c r="M12" s="123" t="s">
        <v>77</v>
      </c>
      <c r="N12" s="124">
        <f>N10/N4</f>
        <v>0.10982521446289258</v>
      </c>
    </row>
    <row r="13" spans="1:19" x14ac:dyDescent="0.2">
      <c r="A13" s="2"/>
      <c r="B13" s="107" t="s">
        <v>72</v>
      </c>
      <c r="C13" s="62">
        <v>-2.8999999999999998E-3</v>
      </c>
      <c r="D13" s="62">
        <v>1.0800000000000001E-2</v>
      </c>
      <c r="E13" s="62">
        <v>-0.48020000000000002</v>
      </c>
      <c r="F13" s="34"/>
      <c r="G13" s="34"/>
      <c r="H13" s="34"/>
      <c r="I13" s="34"/>
      <c r="J13" s="35"/>
      <c r="L13" s="7"/>
      <c r="N13" s="38"/>
    </row>
    <row r="14" spans="1:19" ht="19" x14ac:dyDescent="0.25">
      <c r="A14" s="2"/>
      <c r="B14" s="107" t="s">
        <v>71</v>
      </c>
      <c r="C14" s="62">
        <v>0.31859999999999999</v>
      </c>
      <c r="D14" s="62">
        <v>-0.48020000000000002</v>
      </c>
      <c r="E14" s="62">
        <v>42.937199999999997</v>
      </c>
      <c r="F14" s="34"/>
      <c r="G14" s="34"/>
      <c r="H14" s="34"/>
      <c r="I14" s="34"/>
      <c r="J14" s="35"/>
      <c r="L14" s="3" t="s">
        <v>129</v>
      </c>
    </row>
    <row r="15" spans="1:19" x14ac:dyDescent="0.2">
      <c r="A15" s="2"/>
      <c r="B15" s="34"/>
      <c r="C15" s="34"/>
      <c r="D15" s="34"/>
      <c r="E15" s="34"/>
      <c r="F15" s="34"/>
      <c r="G15" s="34"/>
      <c r="H15" s="34"/>
      <c r="I15" s="34"/>
      <c r="J15" s="35"/>
      <c r="L15" s="156" t="s">
        <v>178</v>
      </c>
      <c r="M15" s="156"/>
      <c r="N15" s="156"/>
      <c r="O15" s="156"/>
      <c r="P15" s="156"/>
      <c r="Q15" s="156"/>
      <c r="R15" s="156"/>
      <c r="S15" s="156"/>
    </row>
    <row r="16" spans="1:19" ht="16" customHeight="1" x14ac:dyDescent="0.2">
      <c r="A16" s="2"/>
      <c r="B16" s="34"/>
      <c r="C16" s="34"/>
      <c r="D16" s="34"/>
      <c r="E16" s="34"/>
      <c r="F16" s="34"/>
      <c r="G16" s="34"/>
      <c r="H16" s="34"/>
      <c r="I16" s="34"/>
      <c r="J16" s="35"/>
      <c r="L16" s="156"/>
      <c r="M16" s="156"/>
      <c r="N16" s="156"/>
      <c r="O16" s="156"/>
      <c r="P16" s="156"/>
      <c r="Q16" s="156"/>
      <c r="R16" s="156"/>
      <c r="S16" s="156"/>
    </row>
    <row r="17" spans="1:20" x14ac:dyDescent="0.2">
      <c r="A17" s="2"/>
      <c r="B17" s="34" t="s">
        <v>73</v>
      </c>
      <c r="C17" s="34"/>
      <c r="D17" s="34"/>
      <c r="E17" s="34"/>
      <c r="F17" s="34"/>
      <c r="G17" s="34"/>
      <c r="H17" s="34"/>
      <c r="I17" s="34"/>
      <c r="J17" s="35"/>
      <c r="L17" s="156"/>
      <c r="M17" s="156"/>
      <c r="N17" s="156"/>
      <c r="O17" s="156"/>
      <c r="P17" s="156"/>
      <c r="Q17" s="156"/>
      <c r="R17" s="156"/>
      <c r="S17" s="156"/>
    </row>
    <row r="18" spans="1:20" x14ac:dyDescent="0.2">
      <c r="A18" s="2"/>
      <c r="B18" s="34"/>
      <c r="C18" s="34"/>
      <c r="D18" s="34"/>
      <c r="E18" s="34"/>
      <c r="F18" s="34"/>
      <c r="G18" s="34"/>
      <c r="H18" s="34"/>
      <c r="I18" s="34"/>
      <c r="J18" s="35"/>
    </row>
    <row r="19" spans="1:20" ht="17" thickBot="1" x14ac:dyDescent="0.25">
      <c r="A19" s="2"/>
      <c r="B19" s="34"/>
      <c r="C19" s="34"/>
      <c r="D19" s="34"/>
      <c r="E19" s="34"/>
      <c r="F19" s="34"/>
      <c r="G19" s="34"/>
      <c r="H19" s="34"/>
      <c r="I19" s="34"/>
      <c r="J19" s="35"/>
    </row>
    <row r="20" spans="1:20" ht="17" thickBot="1" x14ac:dyDescent="0.25">
      <c r="A20" s="152" t="s">
        <v>176</v>
      </c>
      <c r="B20" s="153"/>
      <c r="C20" s="153"/>
      <c r="D20" s="153"/>
      <c r="E20" s="153"/>
      <c r="F20" s="153"/>
      <c r="G20" s="153"/>
      <c r="H20" s="153"/>
      <c r="I20" s="153"/>
      <c r="J20" s="154"/>
    </row>
    <row r="22" spans="1:20" ht="19" x14ac:dyDescent="0.25">
      <c r="A22" s="3"/>
    </row>
    <row r="24" spans="1:20" x14ac:dyDescent="0.2">
      <c r="L24" s="7"/>
      <c r="N24" s="38"/>
    </row>
    <row r="30" spans="1:20" x14ac:dyDescent="0.2">
      <c r="L30" s="5"/>
    </row>
    <row r="31" spans="1:20" x14ac:dyDescent="0.2">
      <c r="L31" s="5"/>
    </row>
    <row r="32" spans="1:20" x14ac:dyDescent="0.2">
      <c r="L32" s="161" t="s">
        <v>233</v>
      </c>
      <c r="M32" s="161"/>
      <c r="N32" s="161"/>
      <c r="O32" s="161"/>
      <c r="P32" s="161"/>
      <c r="Q32" s="161"/>
      <c r="R32" s="161"/>
      <c r="S32" s="161"/>
      <c r="T32" s="161"/>
    </row>
    <row r="33" spans="12:20" x14ac:dyDescent="0.2">
      <c r="L33" s="161"/>
      <c r="M33" s="161"/>
      <c r="N33" s="161"/>
      <c r="O33" s="161"/>
      <c r="P33" s="161"/>
      <c r="Q33" s="161"/>
      <c r="R33" s="161"/>
      <c r="S33" s="161"/>
      <c r="T33" s="161"/>
    </row>
    <row r="34" spans="12:20" x14ac:dyDescent="0.2">
      <c r="L34" s="161"/>
      <c r="M34" s="161"/>
      <c r="N34" s="161"/>
      <c r="O34" s="161"/>
      <c r="P34" s="161"/>
      <c r="Q34" s="161"/>
      <c r="R34" s="161"/>
      <c r="S34" s="161"/>
      <c r="T34" s="161"/>
    </row>
    <row r="36" spans="12:20" ht="19" x14ac:dyDescent="0.25">
      <c r="L36" s="3" t="s">
        <v>220</v>
      </c>
    </row>
    <row r="37" spans="12:20" x14ac:dyDescent="0.2">
      <c r="L37" s="113" t="s">
        <v>224</v>
      </c>
    </row>
    <row r="42" spans="12:20" x14ac:dyDescent="0.2">
      <c r="M42" s="38"/>
    </row>
    <row r="43" spans="12:20" x14ac:dyDescent="0.2">
      <c r="L43" s="5"/>
      <c r="M43" s="5"/>
      <c r="N43" s="5"/>
    </row>
    <row r="44" spans="12:20" x14ac:dyDescent="0.2">
      <c r="L44" s="5"/>
      <c r="M44" s="5"/>
      <c r="N44" s="5"/>
    </row>
    <row r="45" spans="12:20" x14ac:dyDescent="0.2">
      <c r="L45" s="5"/>
      <c r="M45" s="5"/>
      <c r="N45" s="5"/>
    </row>
    <row r="46" spans="12:20" x14ac:dyDescent="0.2">
      <c r="L46" s="5"/>
      <c r="M46" s="5"/>
      <c r="N46" s="5"/>
    </row>
    <row r="47" spans="12:20" x14ac:dyDescent="0.2">
      <c r="L47" s="5"/>
      <c r="M47" s="5"/>
      <c r="N47" s="5"/>
    </row>
    <row r="48" spans="12:20" x14ac:dyDescent="0.2">
      <c r="L48" s="5"/>
      <c r="M48" s="5"/>
      <c r="N48" s="5"/>
    </row>
    <row r="49" spans="12:14" x14ac:dyDescent="0.2">
      <c r="L49" s="5"/>
      <c r="M49" s="5"/>
      <c r="N49" s="5"/>
    </row>
    <row r="50" spans="12:14" x14ac:dyDescent="0.2">
      <c r="L50" s="5"/>
      <c r="M50" s="5"/>
      <c r="N50" s="5"/>
    </row>
    <row r="51" spans="12:14" x14ac:dyDescent="0.2">
      <c r="L51" s="5"/>
      <c r="M51" s="5"/>
      <c r="N51" s="5"/>
    </row>
    <row r="52" spans="12:14" x14ac:dyDescent="0.2">
      <c r="M52" s="38"/>
    </row>
    <row r="53" spans="12:14" x14ac:dyDescent="0.2">
      <c r="L53" s="5"/>
      <c r="M53" s="5"/>
      <c r="N53" s="5"/>
    </row>
    <row r="54" spans="12:14" x14ac:dyDescent="0.2">
      <c r="L54" s="5"/>
      <c r="M54" s="5"/>
      <c r="N54" s="5"/>
    </row>
    <row r="55" spans="12:14" x14ac:dyDescent="0.2">
      <c r="L55" s="5"/>
      <c r="M55" s="5"/>
      <c r="N55" s="5"/>
    </row>
    <row r="56" spans="12:14" x14ac:dyDescent="0.2">
      <c r="L56" s="5"/>
      <c r="M56" s="5"/>
      <c r="N56" s="5"/>
    </row>
    <row r="57" spans="12:14" x14ac:dyDescent="0.2">
      <c r="L57" s="5"/>
      <c r="M57" s="5"/>
      <c r="N57" s="5"/>
    </row>
    <row r="58" spans="12:14" x14ac:dyDescent="0.2">
      <c r="L58" s="5"/>
      <c r="M58" s="5"/>
      <c r="N58" s="5"/>
    </row>
    <row r="59" spans="12:14" x14ac:dyDescent="0.2">
      <c r="L59" s="5"/>
      <c r="M59" s="5"/>
      <c r="N59" s="5"/>
    </row>
    <row r="60" spans="12:14" x14ac:dyDescent="0.2">
      <c r="L60" s="5"/>
      <c r="M60" s="5"/>
      <c r="N60" s="5"/>
    </row>
    <row r="61" spans="12:14" x14ac:dyDescent="0.2">
      <c r="L61" s="5"/>
      <c r="M61" s="5"/>
      <c r="N61" s="5"/>
    </row>
    <row r="62" spans="12:14" x14ac:dyDescent="0.2">
      <c r="M62" s="38"/>
    </row>
    <row r="63" spans="12:14" x14ac:dyDescent="0.2">
      <c r="L63" s="5"/>
      <c r="M63" s="5"/>
      <c r="N63" s="5"/>
    </row>
    <row r="64" spans="12:14" x14ac:dyDescent="0.2">
      <c r="L64" s="5"/>
      <c r="M64" s="5"/>
      <c r="N64" s="5"/>
    </row>
    <row r="65" spans="12:14" x14ac:dyDescent="0.2">
      <c r="L65" s="5"/>
      <c r="M65" s="5"/>
      <c r="N65" s="5"/>
    </row>
    <row r="66" spans="12:14" x14ac:dyDescent="0.2">
      <c r="L66" s="5"/>
      <c r="M66" s="5"/>
      <c r="N66" s="5"/>
    </row>
    <row r="67" spans="12:14" x14ac:dyDescent="0.2">
      <c r="L67" s="5"/>
      <c r="M67" s="5"/>
      <c r="N67" s="5"/>
    </row>
    <row r="68" spans="12:14" x14ac:dyDescent="0.2">
      <c r="L68" s="5"/>
      <c r="M68" s="5"/>
      <c r="N68" s="5"/>
    </row>
    <row r="69" spans="12:14" x14ac:dyDescent="0.2">
      <c r="L69" s="5"/>
      <c r="M69" s="5"/>
      <c r="N69" s="5"/>
    </row>
    <row r="70" spans="12:14" x14ac:dyDescent="0.2">
      <c r="L70" s="5"/>
      <c r="M70" s="5"/>
      <c r="N70" s="5"/>
    </row>
    <row r="71" spans="12:14" x14ac:dyDescent="0.2">
      <c r="L71" s="5"/>
      <c r="M71" s="5"/>
      <c r="N71" s="5"/>
    </row>
    <row r="72" spans="12:14" x14ac:dyDescent="0.2">
      <c r="M72" s="38"/>
    </row>
    <row r="73" spans="12:14" x14ac:dyDescent="0.2">
      <c r="L73" s="5"/>
      <c r="M73" s="5"/>
      <c r="N73" s="5"/>
    </row>
    <row r="74" spans="12:14" x14ac:dyDescent="0.2">
      <c r="L74" s="5"/>
      <c r="M74" s="5"/>
      <c r="N74" s="5"/>
    </row>
    <row r="75" spans="12:14" x14ac:dyDescent="0.2">
      <c r="L75" s="5"/>
      <c r="M75" s="5"/>
      <c r="N75" s="5"/>
    </row>
    <row r="76" spans="12:14" x14ac:dyDescent="0.2">
      <c r="L76" s="5"/>
      <c r="M76" s="5"/>
      <c r="N76" s="5"/>
    </row>
    <row r="77" spans="12:14" x14ac:dyDescent="0.2">
      <c r="L77" s="5"/>
      <c r="M77" s="5"/>
      <c r="N77" s="5"/>
    </row>
    <row r="78" spans="12:14" x14ac:dyDescent="0.2">
      <c r="L78" s="5"/>
      <c r="M78" s="5"/>
      <c r="N78" s="5"/>
    </row>
    <row r="79" spans="12:14" x14ac:dyDescent="0.2">
      <c r="L79" s="5"/>
      <c r="M79" s="5"/>
      <c r="N79" s="5"/>
    </row>
    <row r="80" spans="12:14" x14ac:dyDescent="0.2">
      <c r="L80" s="5"/>
      <c r="M80" s="5"/>
      <c r="N80" s="5"/>
    </row>
    <row r="81" spans="1:65" x14ac:dyDescent="0.2">
      <c r="L81" s="5"/>
      <c r="M81" s="5"/>
      <c r="N81" s="5"/>
    </row>
    <row r="82" spans="1:65" x14ac:dyDescent="0.2">
      <c r="M82" s="38"/>
    </row>
    <row r="83" spans="1:65" x14ac:dyDescent="0.2">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row>
    <row r="84" spans="1:65"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row>
    <row r="85" spans="1:65"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row>
    <row r="86" spans="1:65"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row>
    <row r="87" spans="1:65"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row>
    <row r="88" spans="1:65"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row>
    <row r="89" spans="1:65"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row>
    <row r="90" spans="1:65"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row>
    <row r="91" spans="1:65"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row>
    <row r="92" spans="1:65"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row>
    <row r="93" spans="1:65"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row>
    <row r="94" spans="1:65"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row>
    <row r="95" spans="1:65"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row>
    <row r="96" spans="1:65"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row>
    <row r="97" spans="1:65"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row>
    <row r="98" spans="1:65"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row>
    <row r="99" spans="1:65"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row>
    <row r="100" spans="1:65"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row>
    <row r="101" spans="1:65"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row>
    <row r="102" spans="1:65"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row>
    <row r="103" spans="1:65"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row>
    <row r="104" spans="1:65"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row>
    <row r="105" spans="1:65"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row>
    <row r="106" spans="1:65"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row>
    <row r="107" spans="1:65"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row>
    <row r="108" spans="1:65"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row>
    <row r="109" spans="1:65"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row>
    <row r="110" spans="1:65"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row>
    <row r="111" spans="1:65"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row>
    <row r="112" spans="1:65"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row>
    <row r="113" spans="1:65"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row>
    <row r="114" spans="1:65"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row>
    <row r="115" spans="1:65"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row>
    <row r="116" spans="1:65"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row>
    <row r="117" spans="1:65"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row>
    <row r="118" spans="1:65"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row>
    <row r="119" spans="1:65"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row>
    <row r="120" spans="1:65"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row>
    <row r="121" spans="1:65"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row>
    <row r="122" spans="1:65"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row>
    <row r="123" spans="1:65"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row>
    <row r="124" spans="1:65"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row>
    <row r="125" spans="1:65"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row>
    <row r="126" spans="1:65"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row>
    <row r="127" spans="1:65"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row>
    <row r="128" spans="1:65"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row>
    <row r="129" spans="1:65"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row>
    <row r="130" spans="1:65"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row>
    <row r="131" spans="1:65"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row>
    <row r="132" spans="1:65"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row>
    <row r="133" spans="1:65"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row>
    <row r="134" spans="1:65"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row>
    <row r="135" spans="1:65"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row>
    <row r="136" spans="1:65"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row>
    <row r="137" spans="1:65"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row>
    <row r="138" spans="1:65"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row>
    <row r="139" spans="1:65"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row>
    <row r="140" spans="1:65"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row>
    <row r="141" spans="1:65"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row>
    <row r="142" spans="1:65"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row>
    <row r="143" spans="1:65"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row>
    <row r="144" spans="1:65"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row>
    <row r="145" spans="1:65"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row>
    <row r="146" spans="1:65"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row>
    <row r="147" spans="1:65"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row>
    <row r="148" spans="1:65"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row>
    <row r="149" spans="1:65"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row>
    <row r="150" spans="1:6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row>
    <row r="151" spans="1:6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row>
    <row r="152" spans="1:6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row>
    <row r="153" spans="1:6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row>
    <row r="154" spans="1:6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row>
    <row r="155" spans="1:6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row>
    <row r="156" spans="1:6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row>
    <row r="157" spans="1:6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row>
    <row r="158" spans="1:6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row>
    <row r="159" spans="1:6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row>
    <row r="160" spans="1:6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row>
    <row r="161" spans="1:6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row>
    <row r="162" spans="1:6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row>
    <row r="163" spans="1:6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row>
    <row r="164" spans="1:6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row>
    <row r="165" spans="1:6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row>
    <row r="166" spans="1:6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row>
    <row r="167" spans="1:6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row>
    <row r="168" spans="1:6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row>
    <row r="169" spans="1:6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row>
    <row r="170" spans="1:6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row>
    <row r="171" spans="1:6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row>
    <row r="172" spans="1:6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row>
    <row r="173" spans="1:6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row>
    <row r="174" spans="1:6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row>
    <row r="175" spans="1:6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row>
    <row r="176" spans="1:6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row>
    <row r="177" spans="1:6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row>
    <row r="178" spans="1:6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row>
    <row r="179" spans="1:6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row>
    <row r="180" spans="1:65"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row>
    <row r="181" spans="1:65"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row>
    <row r="182" spans="1:65"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row>
    <row r="183" spans="1:65"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row>
    <row r="184" spans="1:65"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row>
    <row r="185" spans="1:65" x14ac:dyDescent="0.2">
      <c r="A185" s="5"/>
      <c r="B185" s="5"/>
      <c r="C185" s="5"/>
      <c r="D185" s="5"/>
      <c r="E185" s="5"/>
      <c r="F185" s="5"/>
      <c r="G185" s="5"/>
      <c r="H185" s="5"/>
      <c r="I185" s="5"/>
      <c r="J185" s="5"/>
    </row>
  </sheetData>
  <mergeCells count="3">
    <mergeCell ref="A20:J20"/>
    <mergeCell ref="L15:S17"/>
    <mergeCell ref="L32:T34"/>
  </mergeCells>
  <pageMargins left="0.7" right="0.7" top="0.75" bottom="0.75" header="0.3" footer="0.3"/>
  <drawing r:id="rId1"/>
  <legacyDrawing r:id="rId2"/>
  <oleObjects>
    <mc:AlternateContent xmlns:mc="http://schemas.openxmlformats.org/markup-compatibility/2006">
      <mc:Choice Requires="x14">
        <oleObject shapeId="13313" r:id="rId3">
          <objectPr defaultSize="0" autoPict="0" r:id="rId4">
            <anchor moveWithCells="1" sizeWithCells="1">
              <from>
                <xdr:col>11</xdr:col>
                <xdr:colOff>431800</xdr:colOff>
                <xdr:row>18</xdr:row>
                <xdr:rowOff>12700</xdr:rowOff>
              </from>
              <to>
                <xdr:col>19</xdr:col>
                <xdr:colOff>292100</xdr:colOff>
                <xdr:row>29</xdr:row>
                <xdr:rowOff>63500</xdr:rowOff>
              </to>
            </anchor>
          </objectPr>
        </oleObject>
      </mc:Choice>
      <mc:Fallback>
        <oleObject shapeId="13313" r:id="rId3"/>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78DD0-15CA-4447-8DF1-C4EAD58B4152}">
  <dimension ref="A1:BM182"/>
  <sheetViews>
    <sheetView zoomScaleNormal="100" workbookViewId="0"/>
  </sheetViews>
  <sheetFormatPr baseColWidth="10" defaultColWidth="10.83203125" defaultRowHeight="16" outlineLevelCol="1" x14ac:dyDescent="0.2"/>
  <cols>
    <col min="1" max="1" width="4.6640625" style="36" customWidth="1"/>
    <col min="2" max="2" width="10.83203125" style="36"/>
    <col min="3" max="3" width="11" style="36" bestFit="1" customWidth="1"/>
    <col min="4" max="4" width="12.1640625" style="36" bestFit="1" customWidth="1"/>
    <col min="5" max="6" width="11" style="36" bestFit="1" customWidth="1"/>
    <col min="7" max="7" width="12.1640625" style="36" bestFit="1" customWidth="1"/>
    <col min="8" max="8" width="10.83203125" style="36"/>
    <col min="9" max="9" width="15.33203125" style="36" customWidth="1"/>
    <col min="10" max="10" width="10.83203125" style="36"/>
    <col min="11" max="11" width="11.5" style="36" bestFit="1" customWidth="1"/>
    <col min="12" max="19" width="10.83203125" style="36" hidden="1" customWidth="1" outlineLevel="1"/>
    <col min="20" max="20" width="13.33203125" style="36" hidden="1" customWidth="1" outlineLevel="1"/>
    <col min="21" max="21" width="10.83203125" style="36" collapsed="1"/>
    <col min="22" max="16384" width="10.83203125" style="36"/>
  </cols>
  <sheetData>
    <row r="1" spans="1:20" ht="19" x14ac:dyDescent="0.25">
      <c r="A1" s="1" t="s">
        <v>198</v>
      </c>
      <c r="B1" s="19"/>
      <c r="C1" s="33"/>
      <c r="D1" s="33"/>
      <c r="E1" s="33"/>
      <c r="F1" s="34"/>
      <c r="G1" s="34"/>
      <c r="H1" s="34"/>
      <c r="I1" s="34"/>
      <c r="J1" s="35"/>
      <c r="K1" s="3" t="s">
        <v>177</v>
      </c>
    </row>
    <row r="2" spans="1:20" x14ac:dyDescent="0.2">
      <c r="A2" s="2"/>
      <c r="B2" s="34"/>
      <c r="C2" s="34"/>
      <c r="D2" s="34"/>
      <c r="E2" s="34"/>
      <c r="F2" s="34"/>
      <c r="G2" s="34"/>
      <c r="H2" s="34"/>
      <c r="I2" s="34"/>
      <c r="J2" s="35"/>
      <c r="L2" s="7" t="s">
        <v>94</v>
      </c>
    </row>
    <row r="3" spans="1:20" x14ac:dyDescent="0.2">
      <c r="A3" s="2"/>
      <c r="B3" s="34" t="s">
        <v>83</v>
      </c>
      <c r="C3" s="34"/>
      <c r="D3" s="34"/>
      <c r="E3" s="34"/>
      <c r="F3" s="34"/>
      <c r="G3" s="34"/>
      <c r="H3" s="34"/>
      <c r="I3" s="34"/>
      <c r="J3" s="35"/>
      <c r="L3" s="7"/>
      <c r="M3" s="7" t="s">
        <v>90</v>
      </c>
      <c r="N3" s="38"/>
    </row>
    <row r="4" spans="1:20" x14ac:dyDescent="0.2">
      <c r="A4" s="2"/>
      <c r="B4" s="34"/>
      <c r="C4" s="34"/>
      <c r="D4" s="34"/>
      <c r="E4" s="34"/>
      <c r="F4" s="34"/>
      <c r="G4" s="34"/>
      <c r="H4" s="34"/>
      <c r="I4" s="34"/>
      <c r="J4" s="35"/>
    </row>
    <row r="5" spans="1:20" x14ac:dyDescent="0.2">
      <c r="A5" s="2"/>
      <c r="B5" s="34"/>
      <c r="C5" s="151" t="s">
        <v>84</v>
      </c>
      <c r="D5" s="151"/>
      <c r="E5" s="151"/>
      <c r="F5" s="151"/>
      <c r="G5" s="34"/>
      <c r="H5" s="34"/>
      <c r="I5" s="34"/>
      <c r="J5" s="35"/>
    </row>
    <row r="6" spans="1:20" ht="34" x14ac:dyDescent="0.2">
      <c r="A6" s="2"/>
      <c r="B6" s="34"/>
      <c r="C6" s="11" t="s">
        <v>7</v>
      </c>
      <c r="D6" s="12" t="s">
        <v>8</v>
      </c>
      <c r="E6" s="12" t="s">
        <v>9</v>
      </c>
      <c r="F6" s="12" t="s">
        <v>10</v>
      </c>
      <c r="G6" s="34"/>
      <c r="H6" s="34"/>
      <c r="I6" s="34"/>
      <c r="J6" s="35"/>
      <c r="M6" s="39" t="s">
        <v>17</v>
      </c>
      <c r="N6" s="40" t="s">
        <v>18</v>
      </c>
      <c r="O6" s="40" t="s">
        <v>19</v>
      </c>
      <c r="P6" s="40" t="s">
        <v>20</v>
      </c>
      <c r="Q6" s="40" t="s">
        <v>89</v>
      </c>
      <c r="R6" s="41" t="s">
        <v>22</v>
      </c>
      <c r="S6" s="125" t="s">
        <v>25</v>
      </c>
      <c r="T6" s="102" t="s">
        <v>204</v>
      </c>
    </row>
    <row r="7" spans="1:20" x14ac:dyDescent="0.2">
      <c r="A7" s="2"/>
      <c r="B7" s="34"/>
      <c r="C7" s="10">
        <v>2014</v>
      </c>
      <c r="D7" s="14">
        <v>6700</v>
      </c>
      <c r="E7" s="14">
        <v>8760</v>
      </c>
      <c r="F7" s="14">
        <v>9110</v>
      </c>
      <c r="G7" s="34"/>
      <c r="H7" s="34"/>
      <c r="I7" s="34"/>
      <c r="J7" s="35"/>
      <c r="M7" s="42">
        <f>C7</f>
        <v>2014</v>
      </c>
      <c r="N7" s="43">
        <f>N8+12</f>
        <v>36</v>
      </c>
      <c r="O7" s="43">
        <f>N7-6</f>
        <v>30</v>
      </c>
      <c r="P7" s="44">
        <f>1-EXP(-((O7/$D$14)^$D$15))</f>
        <v>0.85579100437524769</v>
      </c>
      <c r="Q7" s="44">
        <f>1-EXP(-(((O7+12)/$D$14)^$D$15))</f>
        <v>0.89886386996184942</v>
      </c>
      <c r="R7" s="46">
        <f>F7</f>
        <v>9110</v>
      </c>
      <c r="S7" s="126">
        <f>R7/P7</f>
        <v>10645.122411225349</v>
      </c>
      <c r="T7" s="47">
        <f>S7*(Q7-P7)</f>
        <v>458.51592677163114</v>
      </c>
    </row>
    <row r="8" spans="1:20" x14ac:dyDescent="0.2">
      <c r="A8" s="2"/>
      <c r="B8" s="34"/>
      <c r="C8" s="10">
        <v>2015</v>
      </c>
      <c r="D8" s="14">
        <v>5800</v>
      </c>
      <c r="E8" s="14">
        <v>8410</v>
      </c>
      <c r="F8" s="6"/>
      <c r="G8" s="34"/>
      <c r="H8" s="34"/>
      <c r="I8" s="34"/>
      <c r="J8" s="35"/>
      <c r="M8" s="74">
        <f>C8</f>
        <v>2015</v>
      </c>
      <c r="N8" s="75">
        <f t="shared" ref="N8" si="0">N9+12</f>
        <v>24</v>
      </c>
      <c r="O8" s="75">
        <f t="shared" ref="O8" si="1">N8-6</f>
        <v>18</v>
      </c>
      <c r="P8" s="76">
        <f t="shared" ref="P8:P9" si="2">1-EXP(-((O8/$D$14)^$D$15))</f>
        <v>0.77686983985157021</v>
      </c>
      <c r="Q8" s="76">
        <f t="shared" ref="Q8:Q9" si="3">1-EXP(-(((O8+12)/$D$14)^$D$15))</f>
        <v>0.85579100437524769</v>
      </c>
      <c r="R8" s="103">
        <f>E8</f>
        <v>8410</v>
      </c>
      <c r="S8" s="127">
        <f t="shared" ref="S8:S9" si="4">R8/P8</f>
        <v>10825.494270194382</v>
      </c>
      <c r="T8" s="93">
        <f t="shared" ref="T8:T9" si="5">S8*(Q8-P8)</f>
        <v>854.36061434813871</v>
      </c>
    </row>
    <row r="9" spans="1:20" x14ac:dyDescent="0.2">
      <c r="A9" s="2"/>
      <c r="B9" s="34"/>
      <c r="C9" s="10">
        <v>2016</v>
      </c>
      <c r="D9" s="14">
        <v>7320</v>
      </c>
      <c r="E9" s="6"/>
      <c r="F9" s="6"/>
      <c r="G9" s="34"/>
      <c r="H9" s="34"/>
      <c r="I9" s="34"/>
      <c r="J9" s="35"/>
      <c r="L9" s="7"/>
      <c r="M9" s="77">
        <f>C9</f>
        <v>2016</v>
      </c>
      <c r="N9" s="40">
        <v>12</v>
      </c>
      <c r="O9" s="78">
        <f>N9-6</f>
        <v>6</v>
      </c>
      <c r="P9" s="79">
        <f t="shared" si="2"/>
        <v>0.57937997394588514</v>
      </c>
      <c r="Q9" s="79">
        <f t="shared" si="3"/>
        <v>0.77686983985157021</v>
      </c>
      <c r="R9" s="100">
        <f>D9</f>
        <v>7320</v>
      </c>
      <c r="S9" s="128">
        <f t="shared" si="4"/>
        <v>12634.195742298296</v>
      </c>
      <c r="T9" s="96">
        <f t="shared" si="5"/>
        <v>2495.1256229726678</v>
      </c>
    </row>
    <row r="10" spans="1:20" x14ac:dyDescent="0.2">
      <c r="A10" s="2"/>
      <c r="B10" s="34"/>
      <c r="C10" s="34"/>
      <c r="D10" s="34"/>
      <c r="E10" s="34"/>
      <c r="F10" s="34"/>
      <c r="G10" s="34"/>
      <c r="H10" s="34"/>
      <c r="I10" s="34"/>
      <c r="J10" s="35"/>
      <c r="M10" s="57"/>
      <c r="Q10" s="45"/>
      <c r="R10" s="46">
        <f t="shared" ref="R10:S10" si="6">SUM(R7:R9)</f>
        <v>24840</v>
      </c>
      <c r="S10" s="129">
        <f t="shared" si="6"/>
        <v>34104.812423718031</v>
      </c>
      <c r="T10" s="16">
        <f>SUM(T7:T9)</f>
        <v>3808.0021640924379</v>
      </c>
    </row>
    <row r="11" spans="1:20" x14ac:dyDescent="0.2">
      <c r="A11" s="2"/>
      <c r="B11" s="34"/>
      <c r="C11" s="34"/>
      <c r="D11" s="34"/>
      <c r="E11" s="34"/>
      <c r="F11" s="34"/>
      <c r="G11" s="34"/>
      <c r="H11" s="34"/>
      <c r="I11" s="34"/>
      <c r="J11" s="35"/>
    </row>
    <row r="12" spans="1:20" x14ac:dyDescent="0.2">
      <c r="A12" s="2"/>
      <c r="B12" s="34" t="s">
        <v>85</v>
      </c>
      <c r="C12" s="34"/>
      <c r="D12" s="34"/>
      <c r="E12" s="34"/>
      <c r="F12" s="34"/>
      <c r="G12" s="34"/>
      <c r="H12" s="34"/>
      <c r="I12" s="34"/>
      <c r="J12" s="35"/>
    </row>
    <row r="13" spans="1:20" x14ac:dyDescent="0.2">
      <c r="A13" s="2"/>
      <c r="B13" s="34"/>
      <c r="C13" s="34"/>
      <c r="D13" s="34"/>
      <c r="E13" s="34"/>
      <c r="F13" s="34"/>
      <c r="G13" s="34"/>
      <c r="H13" s="34"/>
      <c r="I13" s="34"/>
      <c r="J13" s="35"/>
    </row>
    <row r="14" spans="1:20" x14ac:dyDescent="0.2">
      <c r="A14" s="2"/>
      <c r="B14" s="34"/>
      <c r="C14" s="61" t="s">
        <v>13</v>
      </c>
      <c r="D14" s="62">
        <v>8</v>
      </c>
      <c r="E14" s="34"/>
      <c r="F14" s="34"/>
      <c r="G14" s="34"/>
      <c r="H14" s="34"/>
      <c r="I14" s="34"/>
      <c r="J14" s="35"/>
      <c r="M14" s="7" t="s">
        <v>92</v>
      </c>
    </row>
    <row r="15" spans="1:20" x14ac:dyDescent="0.2">
      <c r="A15" s="2"/>
      <c r="B15" s="34"/>
      <c r="C15" s="61" t="s">
        <v>14</v>
      </c>
      <c r="D15" s="62">
        <v>0.5</v>
      </c>
      <c r="E15" s="34"/>
      <c r="F15" s="34"/>
      <c r="G15" s="34"/>
      <c r="H15" s="34"/>
      <c r="I15" s="34"/>
      <c r="J15" s="35"/>
    </row>
    <row r="16" spans="1:20" x14ac:dyDescent="0.2">
      <c r="A16" s="2"/>
      <c r="B16" s="34"/>
      <c r="C16" s="34"/>
      <c r="D16" s="34"/>
      <c r="E16" s="34"/>
      <c r="F16" s="34"/>
      <c r="G16" s="34"/>
      <c r="H16" s="34"/>
      <c r="I16" s="34"/>
      <c r="J16" s="35"/>
      <c r="M16" s="36" t="s">
        <v>91</v>
      </c>
      <c r="O16" s="70">
        <f>T10*1000</f>
        <v>3808002.1640924378</v>
      </c>
    </row>
    <row r="17" spans="1:20" x14ac:dyDescent="0.2">
      <c r="A17" s="2"/>
      <c r="B17" s="120" t="s">
        <v>217</v>
      </c>
      <c r="C17" s="34"/>
      <c r="D17" s="34"/>
      <c r="E17" s="34"/>
      <c r="F17" s="34"/>
      <c r="G17" s="65">
        <v>473000</v>
      </c>
      <c r="H17" s="34"/>
      <c r="I17" s="34"/>
      <c r="J17" s="35"/>
    </row>
    <row r="18" spans="1:20" x14ac:dyDescent="0.2">
      <c r="A18" s="2"/>
      <c r="B18" s="120" t="s">
        <v>218</v>
      </c>
      <c r="C18" s="34"/>
      <c r="D18" s="34"/>
      <c r="E18" s="34"/>
      <c r="F18" s="34"/>
      <c r="G18" s="65">
        <v>1200000</v>
      </c>
      <c r="H18" s="34"/>
      <c r="I18" s="34"/>
      <c r="J18" s="35"/>
      <c r="M18" s="36" t="s">
        <v>33</v>
      </c>
      <c r="O18" s="104">
        <f>O16*G17</f>
        <v>1801185023615.7231</v>
      </c>
    </row>
    <row r="19" spans="1:20" x14ac:dyDescent="0.2">
      <c r="A19" s="2"/>
      <c r="B19" s="34"/>
      <c r="C19" s="34"/>
      <c r="D19" s="34"/>
      <c r="E19" s="34"/>
      <c r="F19" s="34"/>
      <c r="G19" s="34"/>
      <c r="H19" s="34"/>
      <c r="I19" s="34"/>
      <c r="J19" s="35"/>
      <c r="M19" s="36" t="s">
        <v>35</v>
      </c>
      <c r="O19" s="104">
        <f>G18^2</f>
        <v>1440000000000</v>
      </c>
    </row>
    <row r="20" spans="1:20" ht="17" thickBot="1" x14ac:dyDescent="0.25">
      <c r="A20" s="2"/>
      <c r="B20" s="34"/>
      <c r="C20" s="34"/>
      <c r="D20" s="34"/>
      <c r="E20" s="34"/>
      <c r="F20" s="34"/>
      <c r="G20" s="34"/>
      <c r="H20" s="34"/>
      <c r="I20" s="34"/>
      <c r="J20" s="35"/>
    </row>
    <row r="21" spans="1:20" ht="17" thickBot="1" x14ac:dyDescent="0.25">
      <c r="A21" s="34" t="s">
        <v>0</v>
      </c>
      <c r="B21" s="34" t="s">
        <v>86</v>
      </c>
      <c r="C21" s="34"/>
      <c r="D21" s="34"/>
      <c r="E21" s="34"/>
      <c r="F21" s="34"/>
      <c r="G21" s="34"/>
      <c r="H21" s="34"/>
      <c r="I21" s="34"/>
      <c r="J21" s="35"/>
      <c r="M21" s="114" t="s">
        <v>34</v>
      </c>
      <c r="N21" s="116"/>
      <c r="O21" s="117">
        <f>SQRT(O18+O19)</f>
        <v>1800329.143133478</v>
      </c>
      <c r="P21" s="68"/>
    </row>
    <row r="22" spans="1:20" x14ac:dyDescent="0.2">
      <c r="A22" s="2"/>
      <c r="B22" s="34"/>
      <c r="C22" s="34"/>
      <c r="D22" s="34"/>
      <c r="E22" s="34"/>
      <c r="F22" s="34"/>
      <c r="G22" s="34"/>
      <c r="H22" s="34"/>
      <c r="I22" s="34"/>
      <c r="J22" s="35"/>
    </row>
    <row r="23" spans="1:20" x14ac:dyDescent="0.2">
      <c r="A23" s="34" t="s">
        <v>1</v>
      </c>
      <c r="B23" s="34" t="s">
        <v>87</v>
      </c>
      <c r="C23" s="34"/>
      <c r="D23" s="34"/>
      <c r="E23" s="34"/>
      <c r="F23" s="34"/>
      <c r="G23" s="34"/>
      <c r="H23" s="34"/>
      <c r="I23" s="34"/>
      <c r="J23" s="35"/>
    </row>
    <row r="24" spans="1:20" ht="16" customHeight="1" x14ac:dyDescent="0.2">
      <c r="A24" s="2"/>
      <c r="B24" s="34"/>
      <c r="C24" s="34"/>
      <c r="D24" s="34"/>
      <c r="E24" s="34"/>
      <c r="F24" s="34"/>
      <c r="G24" s="34"/>
      <c r="H24" s="34"/>
      <c r="I24" s="34"/>
      <c r="J24" s="35"/>
      <c r="L24" s="7" t="s">
        <v>5</v>
      </c>
    </row>
    <row r="25" spans="1:20" x14ac:dyDescent="0.2">
      <c r="A25" s="34" t="s">
        <v>2</v>
      </c>
      <c r="B25" s="34" t="s">
        <v>88</v>
      </c>
      <c r="C25" s="34"/>
      <c r="D25" s="34"/>
      <c r="E25" s="34"/>
      <c r="F25" s="34"/>
      <c r="G25" s="34"/>
      <c r="H25" s="34"/>
      <c r="I25" s="34"/>
      <c r="J25" s="35"/>
      <c r="L25" s="162" t="s">
        <v>93</v>
      </c>
      <c r="M25" s="162"/>
      <c r="N25" s="162"/>
      <c r="O25" s="162"/>
      <c r="P25" s="162"/>
      <c r="Q25" s="162"/>
      <c r="R25" s="162"/>
      <c r="S25" s="162"/>
      <c r="T25" s="84"/>
    </row>
    <row r="26" spans="1:20" x14ac:dyDescent="0.2">
      <c r="A26" s="2"/>
      <c r="B26" s="34"/>
      <c r="C26" s="34"/>
      <c r="D26" s="34"/>
      <c r="E26" s="34"/>
      <c r="F26" s="34"/>
      <c r="G26" s="34"/>
      <c r="H26" s="34"/>
      <c r="I26" s="34"/>
      <c r="J26" s="35"/>
      <c r="L26" s="162"/>
      <c r="M26" s="162"/>
      <c r="N26" s="162"/>
      <c r="O26" s="162"/>
      <c r="P26" s="162"/>
      <c r="Q26" s="162"/>
      <c r="R26" s="162"/>
      <c r="S26" s="162"/>
    </row>
    <row r="27" spans="1:20" ht="17" thickBot="1" x14ac:dyDescent="0.25">
      <c r="A27" s="2"/>
      <c r="B27" s="34"/>
      <c r="C27" s="34"/>
      <c r="D27" s="34"/>
      <c r="E27" s="34"/>
      <c r="F27" s="34"/>
      <c r="G27" s="34"/>
      <c r="H27" s="34"/>
      <c r="I27" s="34"/>
      <c r="J27" s="35"/>
      <c r="L27" s="162"/>
      <c r="M27" s="162"/>
      <c r="N27" s="162"/>
      <c r="O27" s="162"/>
      <c r="P27" s="162"/>
      <c r="Q27" s="162"/>
      <c r="R27" s="162"/>
      <c r="S27" s="162"/>
    </row>
    <row r="28" spans="1:20" ht="17" thickBot="1" x14ac:dyDescent="0.25">
      <c r="A28" s="152" t="s">
        <v>176</v>
      </c>
      <c r="B28" s="153"/>
      <c r="C28" s="153"/>
      <c r="D28" s="153"/>
      <c r="E28" s="153"/>
      <c r="F28" s="153"/>
      <c r="G28" s="153"/>
      <c r="H28" s="153"/>
      <c r="I28" s="153"/>
      <c r="J28" s="154"/>
      <c r="L28" s="162"/>
      <c r="M28" s="162"/>
      <c r="N28" s="162"/>
      <c r="O28" s="162"/>
      <c r="P28" s="162"/>
      <c r="Q28" s="162"/>
      <c r="R28" s="162"/>
      <c r="S28" s="162"/>
    </row>
    <row r="29" spans="1:20" x14ac:dyDescent="0.2">
      <c r="L29" s="162"/>
      <c r="M29" s="162"/>
      <c r="N29" s="162"/>
      <c r="O29" s="162"/>
      <c r="P29" s="162"/>
      <c r="Q29" s="162"/>
      <c r="R29" s="162"/>
      <c r="S29" s="162"/>
    </row>
    <row r="30" spans="1:20" x14ac:dyDescent="0.2">
      <c r="L30" s="162"/>
      <c r="M30" s="162"/>
      <c r="N30" s="162"/>
      <c r="O30" s="162"/>
      <c r="P30" s="162"/>
      <c r="Q30" s="162"/>
      <c r="R30" s="162"/>
      <c r="S30" s="162"/>
    </row>
    <row r="31" spans="1:20" x14ac:dyDescent="0.2">
      <c r="L31" s="162"/>
      <c r="M31" s="162"/>
      <c r="N31" s="162"/>
      <c r="O31" s="162"/>
      <c r="P31" s="162"/>
      <c r="Q31" s="162"/>
      <c r="R31" s="162"/>
      <c r="S31" s="162"/>
    </row>
    <row r="33" spans="12:14" ht="19" x14ac:dyDescent="0.25">
      <c r="L33" s="3" t="s">
        <v>220</v>
      </c>
    </row>
    <row r="34" spans="12:14" x14ac:dyDescent="0.2">
      <c r="L34" s="113" t="s">
        <v>225</v>
      </c>
    </row>
    <row r="35" spans="12:14" x14ac:dyDescent="0.2">
      <c r="L35" s="5"/>
    </row>
    <row r="36" spans="12:14" x14ac:dyDescent="0.2">
      <c r="L36" s="5"/>
    </row>
    <row r="37" spans="12:14" x14ac:dyDescent="0.2">
      <c r="L37" s="5"/>
    </row>
    <row r="38" spans="12:14" x14ac:dyDescent="0.2">
      <c r="L38" s="5"/>
    </row>
    <row r="43" spans="12:14" x14ac:dyDescent="0.2">
      <c r="L43" s="5"/>
      <c r="M43" s="5"/>
      <c r="N43" s="5"/>
    </row>
    <row r="44" spans="12:14" x14ac:dyDescent="0.2">
      <c r="L44" s="5"/>
      <c r="M44" s="5"/>
      <c r="N44" s="5"/>
    </row>
    <row r="45" spans="12:14" x14ac:dyDescent="0.2">
      <c r="L45" s="5"/>
      <c r="M45" s="5"/>
      <c r="N45" s="5"/>
    </row>
    <row r="46" spans="12:14" x14ac:dyDescent="0.2">
      <c r="L46" s="5"/>
      <c r="M46" s="5"/>
      <c r="N46" s="5"/>
    </row>
    <row r="47" spans="12:14" x14ac:dyDescent="0.2">
      <c r="L47" s="5"/>
      <c r="M47" s="5"/>
      <c r="N47" s="5"/>
    </row>
    <row r="48" spans="12:14" x14ac:dyDescent="0.2">
      <c r="L48" s="5"/>
      <c r="M48" s="5"/>
      <c r="N48" s="5"/>
    </row>
    <row r="49" spans="12:14" x14ac:dyDescent="0.2">
      <c r="L49" s="5"/>
      <c r="M49" s="5"/>
      <c r="N49" s="5"/>
    </row>
    <row r="50" spans="12:14" x14ac:dyDescent="0.2">
      <c r="L50" s="5"/>
      <c r="M50" s="38"/>
    </row>
    <row r="51" spans="12:14" x14ac:dyDescent="0.2">
      <c r="L51" s="5"/>
      <c r="M51" s="5"/>
      <c r="N51" s="5"/>
    </row>
    <row r="52" spans="12:14" x14ac:dyDescent="0.2">
      <c r="L52" s="5"/>
      <c r="M52" s="5"/>
      <c r="N52" s="5"/>
    </row>
    <row r="53" spans="12:14" x14ac:dyDescent="0.2">
      <c r="L53" s="5"/>
      <c r="M53" s="5"/>
      <c r="N53" s="5"/>
    </row>
    <row r="54" spans="12:14" x14ac:dyDescent="0.2">
      <c r="L54" s="5"/>
      <c r="M54" s="5"/>
      <c r="N54" s="5"/>
    </row>
    <row r="55" spans="12:14" x14ac:dyDescent="0.2">
      <c r="L55" s="5"/>
      <c r="M55" s="5"/>
      <c r="N55" s="5"/>
    </row>
    <row r="56" spans="12:14" x14ac:dyDescent="0.2">
      <c r="L56" s="5"/>
      <c r="M56" s="5"/>
      <c r="N56" s="5"/>
    </row>
    <row r="57" spans="12:14" x14ac:dyDescent="0.2">
      <c r="L57" s="5"/>
      <c r="M57" s="5"/>
      <c r="N57" s="5"/>
    </row>
    <row r="58" spans="12:14" x14ac:dyDescent="0.2">
      <c r="L58" s="5"/>
      <c r="M58" s="5"/>
      <c r="N58" s="5"/>
    </row>
    <row r="59" spans="12:14" x14ac:dyDescent="0.2">
      <c r="L59" s="5"/>
      <c r="M59" s="5"/>
      <c r="N59" s="5"/>
    </row>
    <row r="60" spans="12:14" x14ac:dyDescent="0.2">
      <c r="L60" s="5"/>
      <c r="M60" s="38"/>
    </row>
    <row r="61" spans="12:14" x14ac:dyDescent="0.2">
      <c r="L61" s="5"/>
      <c r="M61" s="5"/>
      <c r="N61" s="5"/>
    </row>
    <row r="62" spans="12:14" x14ac:dyDescent="0.2">
      <c r="L62" s="5"/>
      <c r="M62" s="5"/>
      <c r="N62" s="5"/>
    </row>
    <row r="63" spans="12:14" x14ac:dyDescent="0.2">
      <c r="M63" s="5"/>
      <c r="N63" s="5"/>
    </row>
    <row r="64" spans="12:14" x14ac:dyDescent="0.2">
      <c r="L64" s="5"/>
      <c r="M64" s="5"/>
      <c r="N64" s="5"/>
    </row>
    <row r="65" spans="1:65" x14ac:dyDescent="0.2">
      <c r="L65" s="5"/>
      <c r="M65" s="5"/>
      <c r="N65" s="5"/>
    </row>
    <row r="66" spans="1:65" x14ac:dyDescent="0.2">
      <c r="L66" s="5"/>
      <c r="M66" s="5"/>
      <c r="N66" s="5"/>
    </row>
    <row r="67" spans="1:65" x14ac:dyDescent="0.2">
      <c r="L67" s="5"/>
      <c r="M67" s="5"/>
      <c r="N67" s="5"/>
    </row>
    <row r="68" spans="1:65" x14ac:dyDescent="0.2">
      <c r="L68" s="5"/>
      <c r="M68" s="5"/>
      <c r="N68" s="5"/>
    </row>
    <row r="69" spans="1:65" x14ac:dyDescent="0.2">
      <c r="L69" s="5"/>
      <c r="M69" s="5"/>
      <c r="N69" s="5"/>
    </row>
    <row r="70" spans="1:65" x14ac:dyDescent="0.2">
      <c r="L70" s="5"/>
      <c r="M70" s="38"/>
    </row>
    <row r="71" spans="1:65" x14ac:dyDescent="0.2">
      <c r="A71" s="5"/>
      <c r="B71" s="5"/>
      <c r="C71" s="5"/>
      <c r="D71" s="5"/>
      <c r="E71" s="5"/>
      <c r="F71" s="5"/>
      <c r="G71" s="5"/>
      <c r="H71" s="5"/>
      <c r="I71" s="5"/>
      <c r="J71" s="5"/>
      <c r="L71" s="5"/>
      <c r="M71" s="5"/>
      <c r="N71" s="5"/>
    </row>
    <row r="72" spans="1:65" x14ac:dyDescent="0.2">
      <c r="A72" s="5"/>
      <c r="B72" s="5"/>
      <c r="C72" s="5"/>
      <c r="D72" s="5"/>
      <c r="E72" s="5"/>
      <c r="F72" s="5"/>
      <c r="G72" s="5"/>
      <c r="H72" s="5"/>
      <c r="I72" s="5"/>
      <c r="J72" s="5"/>
      <c r="L72" s="5"/>
      <c r="M72" s="5"/>
      <c r="N72" s="5"/>
    </row>
    <row r="73" spans="1:65" x14ac:dyDescent="0.2">
      <c r="A73" s="5"/>
      <c r="B73" s="5"/>
      <c r="C73" s="5"/>
      <c r="D73" s="5"/>
      <c r="E73" s="5"/>
      <c r="F73" s="5"/>
      <c r="G73" s="5"/>
      <c r="H73" s="5"/>
      <c r="I73" s="5"/>
      <c r="J73" s="5"/>
      <c r="K73" s="5"/>
      <c r="M73" s="5"/>
      <c r="N73" s="5"/>
    </row>
    <row r="74" spans="1:65" x14ac:dyDescent="0.2">
      <c r="A74" s="5"/>
      <c r="B74" s="5"/>
      <c r="C74" s="5"/>
      <c r="D74" s="5"/>
      <c r="E74" s="5"/>
      <c r="F74" s="5"/>
      <c r="G74" s="5"/>
      <c r="H74" s="5"/>
      <c r="I74" s="5"/>
      <c r="J74" s="5"/>
      <c r="K74" s="5"/>
      <c r="L74" s="5"/>
      <c r="M74" s="5"/>
      <c r="N74" s="5"/>
    </row>
    <row r="75" spans="1:65" x14ac:dyDescent="0.2">
      <c r="A75" s="5"/>
      <c r="B75" s="5"/>
      <c r="C75" s="5"/>
      <c r="D75" s="5"/>
      <c r="E75" s="5"/>
      <c r="F75" s="5"/>
      <c r="G75" s="5"/>
      <c r="H75" s="5"/>
      <c r="I75" s="5"/>
      <c r="J75" s="5"/>
      <c r="K75" s="5"/>
      <c r="L75" s="5"/>
      <c r="M75" s="5"/>
      <c r="N75" s="5"/>
    </row>
    <row r="76" spans="1:65" x14ac:dyDescent="0.2">
      <c r="A76" s="5"/>
      <c r="B76" s="5"/>
      <c r="C76" s="5"/>
      <c r="D76" s="5"/>
      <c r="E76" s="5"/>
      <c r="F76" s="5"/>
      <c r="G76" s="5"/>
      <c r="H76" s="5"/>
      <c r="I76" s="5"/>
      <c r="J76" s="5"/>
      <c r="K76" s="5"/>
      <c r="L76" s="5"/>
      <c r="M76" s="5"/>
      <c r="N76" s="5"/>
    </row>
    <row r="77" spans="1:65" x14ac:dyDescent="0.2">
      <c r="A77" s="5"/>
      <c r="B77" s="5"/>
      <c r="C77" s="5"/>
      <c r="D77" s="5"/>
      <c r="E77" s="5"/>
      <c r="F77" s="5"/>
      <c r="G77" s="5"/>
      <c r="H77" s="5"/>
      <c r="I77" s="5"/>
      <c r="J77" s="5"/>
      <c r="K77" s="5"/>
      <c r="L77" s="5"/>
      <c r="M77" s="5"/>
      <c r="N77" s="5"/>
    </row>
    <row r="78" spans="1:65" x14ac:dyDescent="0.2">
      <c r="A78" s="5"/>
      <c r="B78" s="5"/>
      <c r="C78" s="5"/>
      <c r="D78" s="5"/>
      <c r="E78" s="5"/>
      <c r="F78" s="5"/>
      <c r="G78" s="5"/>
      <c r="H78" s="5"/>
      <c r="I78" s="5"/>
      <c r="J78" s="5"/>
      <c r="K78" s="5"/>
      <c r="L78" s="5"/>
      <c r="M78" s="5"/>
      <c r="N78" s="5"/>
    </row>
    <row r="79" spans="1:65" x14ac:dyDescent="0.2">
      <c r="A79" s="5"/>
      <c r="B79" s="5"/>
      <c r="C79" s="5"/>
      <c r="D79" s="5"/>
      <c r="E79" s="5"/>
      <c r="F79" s="5"/>
      <c r="G79" s="5"/>
      <c r="H79" s="5"/>
      <c r="I79" s="5"/>
      <c r="J79" s="5"/>
      <c r="K79" s="5"/>
      <c r="L79" s="5"/>
      <c r="M79" s="5"/>
      <c r="N79" s="5"/>
    </row>
    <row r="80" spans="1:65" x14ac:dyDescent="0.2">
      <c r="A80" s="5"/>
      <c r="B80" s="5"/>
      <c r="C80" s="5"/>
      <c r="D80" s="5"/>
      <c r="E80" s="5"/>
      <c r="F80" s="5"/>
      <c r="G80" s="5"/>
      <c r="H80" s="5"/>
      <c r="I80" s="5"/>
      <c r="J80" s="5"/>
      <c r="K80" s="5"/>
      <c r="L80" s="5"/>
      <c r="M80" s="38"/>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row>
    <row r="81" spans="1:65"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row>
    <row r="82" spans="1:65"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row>
    <row r="83" spans="1:65"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row>
    <row r="84" spans="1:65"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row>
    <row r="85" spans="1:65"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row>
    <row r="86" spans="1:65"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row>
    <row r="87" spans="1:65"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row>
    <row r="88" spans="1:65"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row>
    <row r="89" spans="1:65"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row>
    <row r="90" spans="1:65"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row>
    <row r="91" spans="1:65"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row>
    <row r="92" spans="1:65"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row>
    <row r="93" spans="1:65"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row>
    <row r="94" spans="1:65"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row>
    <row r="95" spans="1:65"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row>
    <row r="96" spans="1:65"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row>
    <row r="97" spans="1:65"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row>
    <row r="98" spans="1:65"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row>
    <row r="99" spans="1:65"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row>
    <row r="100" spans="1:65"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row>
    <row r="101" spans="1:65"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row>
    <row r="102" spans="1:65"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row>
    <row r="103" spans="1:65"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row>
    <row r="104" spans="1:65"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row>
    <row r="105" spans="1:65"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row>
    <row r="106" spans="1:65"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row>
    <row r="107" spans="1:65"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row>
    <row r="108" spans="1:65"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row>
    <row r="109" spans="1:65"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row>
    <row r="110" spans="1:65"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row>
    <row r="111" spans="1:65"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row>
    <row r="112" spans="1:65"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row>
    <row r="113" spans="1:65"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row>
    <row r="114" spans="1:65"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row>
    <row r="115" spans="1:65"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row>
    <row r="116" spans="1:65"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row>
    <row r="117" spans="1:65"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row>
    <row r="118" spans="1:65"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row>
    <row r="119" spans="1:65"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row>
    <row r="120" spans="1:65"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row>
    <row r="121" spans="1:65"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row>
    <row r="122" spans="1:65"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row>
    <row r="123" spans="1:65"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row>
    <row r="124" spans="1:65"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row>
    <row r="125" spans="1:65"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row>
    <row r="126" spans="1:65"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row>
    <row r="127" spans="1:65"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row>
    <row r="128" spans="1:65"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row>
    <row r="129" spans="1:65"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row>
    <row r="130" spans="1:65"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row>
    <row r="131" spans="1:65"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row>
    <row r="132" spans="1:65"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row>
    <row r="133" spans="1:65"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row>
    <row r="134" spans="1:65"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row>
    <row r="135" spans="1:65"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row>
    <row r="136" spans="1:65"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row>
    <row r="137" spans="1:65"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row>
    <row r="138" spans="1:65"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row>
    <row r="139" spans="1:65"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row>
    <row r="140" spans="1:65"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row>
    <row r="141" spans="1:65"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row>
    <row r="142" spans="1:65"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row>
    <row r="143" spans="1:65"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row>
    <row r="144" spans="1:65"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row>
    <row r="145" spans="1:65"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row>
    <row r="146" spans="1:65"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row>
    <row r="147" spans="1:65"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row>
    <row r="148" spans="1:65"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row>
    <row r="149" spans="1:65"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row>
    <row r="150" spans="1:6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row>
    <row r="151" spans="1:6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row>
    <row r="152" spans="1:6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row>
    <row r="153" spans="1:6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row>
    <row r="154" spans="1:6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row>
    <row r="155" spans="1:6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row>
    <row r="156" spans="1:6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row>
    <row r="157" spans="1:6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row>
    <row r="158" spans="1:6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row>
    <row r="159" spans="1:6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row>
    <row r="160" spans="1:6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row>
    <row r="161" spans="1:6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row>
    <row r="162" spans="1:6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row>
    <row r="163" spans="1:6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row>
    <row r="164" spans="1:6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row>
    <row r="165" spans="1:6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row>
    <row r="166" spans="1:6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row>
    <row r="167" spans="1:6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row>
    <row r="168" spans="1:6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row>
    <row r="169" spans="1:6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row>
    <row r="170" spans="1:6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row>
    <row r="171" spans="1:6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row>
    <row r="172" spans="1:6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row>
    <row r="173" spans="1:6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row>
    <row r="174" spans="1:6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row>
    <row r="175" spans="1:6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row>
    <row r="176" spans="1:6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row>
    <row r="177" spans="1:6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row>
    <row r="178" spans="1:6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row>
    <row r="179" spans="1:6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row>
    <row r="180" spans="1:65" x14ac:dyDescent="0.2">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row>
    <row r="181" spans="1:65" x14ac:dyDescent="0.2">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row>
    <row r="182" spans="1:65" x14ac:dyDescent="0.2">
      <c r="L182" s="5"/>
      <c r="M182" s="5"/>
      <c r="N182" s="5"/>
      <c r="O182" s="5"/>
      <c r="P182" s="5"/>
      <c r="Q182" s="5"/>
      <c r="R182" s="5"/>
      <c r="S182" s="5"/>
      <c r="T182" s="5"/>
      <c r="U182" s="5"/>
    </row>
  </sheetData>
  <mergeCells count="3">
    <mergeCell ref="C5:F5"/>
    <mergeCell ref="A28:J28"/>
    <mergeCell ref="L25:S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9056A-3C28-514F-9672-D33096FEA2CA}">
  <dimension ref="A1:BM198"/>
  <sheetViews>
    <sheetView zoomScaleNormal="100" workbookViewId="0"/>
  </sheetViews>
  <sheetFormatPr baseColWidth="10" defaultColWidth="10.83203125" defaultRowHeight="16" outlineLevelCol="1" x14ac:dyDescent="0.2"/>
  <cols>
    <col min="1" max="1" width="4.6640625" style="36" customWidth="1"/>
    <col min="2" max="10" width="10.83203125" style="36"/>
    <col min="11" max="11" width="11.83203125" style="36" bestFit="1" customWidth="1"/>
    <col min="12" max="20" width="10.83203125" style="36" hidden="1" customWidth="1" outlineLevel="1"/>
    <col min="21" max="21" width="10.83203125" style="36" collapsed="1"/>
    <col min="22" max="16384" width="10.83203125" style="36"/>
  </cols>
  <sheetData>
    <row r="1" spans="1:19" ht="19" x14ac:dyDescent="0.25">
      <c r="A1" s="1" t="s">
        <v>199</v>
      </c>
      <c r="B1" s="19"/>
      <c r="C1" s="33"/>
      <c r="D1" s="33"/>
      <c r="E1" s="33"/>
      <c r="F1" s="34"/>
      <c r="G1" s="34"/>
      <c r="H1" s="34"/>
      <c r="I1" s="34"/>
      <c r="J1" s="35"/>
      <c r="K1" s="3" t="s">
        <v>177</v>
      </c>
    </row>
    <row r="2" spans="1:19" x14ac:dyDescent="0.2">
      <c r="A2" s="2"/>
      <c r="B2" s="34"/>
      <c r="C2" s="34"/>
      <c r="D2" s="34"/>
      <c r="E2" s="34"/>
      <c r="F2" s="34"/>
      <c r="G2" s="34"/>
      <c r="H2" s="34"/>
      <c r="I2" s="34"/>
      <c r="J2" s="35"/>
      <c r="L2" s="7" t="s">
        <v>3</v>
      </c>
      <c r="N2" s="38"/>
    </row>
    <row r="3" spans="1:19" x14ac:dyDescent="0.2">
      <c r="A3" s="2"/>
      <c r="B3" s="34" t="s">
        <v>6</v>
      </c>
      <c r="C3" s="34"/>
      <c r="D3" s="34"/>
      <c r="E3" s="34"/>
      <c r="F3" s="34"/>
      <c r="G3" s="34"/>
      <c r="H3" s="34"/>
      <c r="I3" s="34"/>
      <c r="J3" s="35"/>
      <c r="O3" s="36" t="s">
        <v>105</v>
      </c>
      <c r="P3" s="36">
        <f>E23</f>
        <v>0.98299999999999998</v>
      </c>
    </row>
    <row r="4" spans="1:19" x14ac:dyDescent="0.2">
      <c r="A4" s="2"/>
      <c r="B4" s="34"/>
      <c r="C4" s="34"/>
      <c r="D4" s="34"/>
      <c r="E4" s="34"/>
      <c r="F4" s="34"/>
      <c r="G4" s="34"/>
      <c r="H4" s="34"/>
      <c r="I4" s="34"/>
      <c r="J4" s="35"/>
      <c r="Q4" s="157" t="s">
        <v>22</v>
      </c>
    </row>
    <row r="5" spans="1:19" ht="17" x14ac:dyDescent="0.2">
      <c r="A5" s="2"/>
      <c r="B5" s="34"/>
      <c r="C5" s="151" t="s">
        <v>209</v>
      </c>
      <c r="D5" s="151"/>
      <c r="E5" s="151"/>
      <c r="F5" s="151"/>
      <c r="G5" s="34"/>
      <c r="H5" s="34"/>
      <c r="I5" s="34"/>
      <c r="J5" s="35"/>
      <c r="M5" s="39" t="s">
        <v>17</v>
      </c>
      <c r="N5" s="40" t="s">
        <v>19</v>
      </c>
      <c r="O5" s="40" t="s">
        <v>20</v>
      </c>
      <c r="P5" s="40" t="s">
        <v>21</v>
      </c>
      <c r="Q5" s="158"/>
      <c r="R5" s="41" t="s">
        <v>25</v>
      </c>
      <c r="S5" s="36" t="s">
        <v>23</v>
      </c>
    </row>
    <row r="6" spans="1:19" x14ac:dyDescent="0.2">
      <c r="A6" s="2"/>
      <c r="B6" s="34"/>
      <c r="C6" s="159" t="s">
        <v>7</v>
      </c>
      <c r="D6" s="34"/>
      <c r="E6" s="34"/>
      <c r="F6" s="34"/>
      <c r="G6" s="34"/>
      <c r="H6" s="34"/>
      <c r="I6" s="34"/>
      <c r="J6" s="35"/>
      <c r="M6" s="42">
        <f>C8</f>
        <v>2013</v>
      </c>
      <c r="N6" s="43">
        <f>N7+12</f>
        <v>30</v>
      </c>
      <c r="O6" s="44">
        <f>E20</f>
        <v>0.88100000000000001</v>
      </c>
      <c r="P6" s="45">
        <f>$P$3/O6</f>
        <v>1.11577752553916</v>
      </c>
      <c r="Q6" s="46">
        <f>SUM(D8:F8)</f>
        <v>3280</v>
      </c>
      <c r="R6" s="47">
        <f>Q6*P6</f>
        <v>3659.7502837684447</v>
      </c>
      <c r="S6" s="47">
        <f>R6-Q6</f>
        <v>379.75028376844466</v>
      </c>
    </row>
    <row r="7" spans="1:19" ht="17" x14ac:dyDescent="0.2">
      <c r="A7" s="2"/>
      <c r="B7" s="34"/>
      <c r="C7" s="160"/>
      <c r="D7" s="12" t="s">
        <v>8</v>
      </c>
      <c r="E7" s="12" t="s">
        <v>9</v>
      </c>
      <c r="F7" s="12" t="s">
        <v>10</v>
      </c>
      <c r="G7" s="34"/>
      <c r="H7" s="34"/>
      <c r="I7" s="34"/>
      <c r="J7" s="35"/>
      <c r="M7" s="42">
        <f>C9</f>
        <v>2014</v>
      </c>
      <c r="N7" s="43">
        <f>N8+12</f>
        <v>18</v>
      </c>
      <c r="O7" s="44">
        <f>E18</f>
        <v>0.77300000000000002</v>
      </c>
      <c r="P7" s="45">
        <f>$P$3/O7</f>
        <v>1.2716688227684345</v>
      </c>
      <c r="Q7" s="46">
        <f>SUM(D9:F9)</f>
        <v>2850</v>
      </c>
      <c r="R7" s="48">
        <f>Q7*P7</f>
        <v>3624.2561448900383</v>
      </c>
      <c r="S7" s="48">
        <f t="shared" ref="S7:S8" si="0">R7-Q7</f>
        <v>774.25614489003829</v>
      </c>
    </row>
    <row r="8" spans="1:19" x14ac:dyDescent="0.2">
      <c r="A8" s="2"/>
      <c r="B8" s="34"/>
      <c r="C8" s="10">
        <v>2013</v>
      </c>
      <c r="D8" s="14">
        <v>1430</v>
      </c>
      <c r="E8" s="14">
        <v>1030</v>
      </c>
      <c r="F8" s="6">
        <v>820</v>
      </c>
      <c r="G8" s="34"/>
      <c r="H8" s="34"/>
      <c r="I8" s="34"/>
      <c r="J8" s="35"/>
      <c r="L8" s="7"/>
      <c r="M8" s="77">
        <f>C10</f>
        <v>2015</v>
      </c>
      <c r="N8" s="78">
        <v>6</v>
      </c>
      <c r="O8" s="79">
        <f>E16</f>
        <v>0.39</v>
      </c>
      <c r="P8" s="99">
        <f>$P$3/O8</f>
        <v>2.5205128205128204</v>
      </c>
      <c r="Q8" s="100">
        <f>SUM(D10:F10)</f>
        <v>2020</v>
      </c>
      <c r="R8" s="101">
        <f>Q8*P8</f>
        <v>5091.4358974358975</v>
      </c>
      <c r="S8" s="96">
        <f t="shared" si="0"/>
        <v>3071.4358974358975</v>
      </c>
    </row>
    <row r="9" spans="1:19" x14ac:dyDescent="0.2">
      <c r="A9" s="2"/>
      <c r="B9" s="34"/>
      <c r="C9" s="10">
        <v>2014</v>
      </c>
      <c r="D9" s="14">
        <v>1540</v>
      </c>
      <c r="E9" s="14">
        <v>1310</v>
      </c>
      <c r="F9" s="6"/>
      <c r="G9" s="34"/>
      <c r="H9" s="34"/>
      <c r="I9" s="34"/>
      <c r="J9" s="35"/>
      <c r="M9" s="57"/>
      <c r="P9" s="45"/>
      <c r="Q9" s="46">
        <f t="shared" ref="Q9:R9" si="1">SUM(Q6:Q8)</f>
        <v>8150</v>
      </c>
      <c r="R9" s="46">
        <f t="shared" si="1"/>
        <v>12375.44232609438</v>
      </c>
      <c r="S9" s="8">
        <f>SUM(S6:S8)</f>
        <v>4225.4423260943804</v>
      </c>
    </row>
    <row r="10" spans="1:19" x14ac:dyDescent="0.2">
      <c r="A10" s="2"/>
      <c r="B10" s="34"/>
      <c r="C10" s="10">
        <v>2015</v>
      </c>
      <c r="D10" s="14">
        <v>2020</v>
      </c>
      <c r="E10" s="6"/>
      <c r="F10" s="6"/>
      <c r="G10" s="34"/>
      <c r="H10" s="34"/>
      <c r="I10" s="34"/>
      <c r="J10" s="35"/>
    </row>
    <row r="11" spans="1:19" x14ac:dyDescent="0.2">
      <c r="A11" s="2"/>
      <c r="B11" s="34"/>
      <c r="C11" s="34"/>
      <c r="D11" s="34"/>
      <c r="E11" s="34"/>
      <c r="F11" s="34"/>
      <c r="G11" s="34"/>
      <c r="H11" s="34"/>
      <c r="I11" s="34"/>
      <c r="J11" s="35"/>
      <c r="M11" s="36" t="s">
        <v>33</v>
      </c>
      <c r="O11" s="70">
        <f>56.7*S9</f>
        <v>239582.57988955139</v>
      </c>
    </row>
    <row r="12" spans="1:19" x14ac:dyDescent="0.2">
      <c r="A12" s="2"/>
      <c r="B12" s="34" t="s">
        <v>95</v>
      </c>
      <c r="C12" s="34"/>
      <c r="D12" s="34"/>
      <c r="E12" s="34"/>
      <c r="F12" s="34"/>
      <c r="G12" s="34"/>
      <c r="H12" s="34"/>
      <c r="I12" s="34"/>
      <c r="J12" s="35"/>
      <c r="M12" s="36" t="s">
        <v>35</v>
      </c>
      <c r="O12" s="70">
        <f>(F29/1000)^2</f>
        <v>360000</v>
      </c>
    </row>
    <row r="13" spans="1:19" x14ac:dyDescent="0.2">
      <c r="A13" s="2"/>
      <c r="B13" s="34" t="s">
        <v>96</v>
      </c>
      <c r="C13" s="34"/>
      <c r="D13" s="34"/>
      <c r="E13" s="34"/>
      <c r="F13" s="34"/>
      <c r="G13" s="34"/>
      <c r="H13" s="34"/>
      <c r="I13" s="34"/>
      <c r="J13" s="35"/>
    </row>
    <row r="14" spans="1:19" x14ac:dyDescent="0.2">
      <c r="A14" s="2"/>
      <c r="B14" s="34" t="s">
        <v>97</v>
      </c>
      <c r="C14" s="34"/>
      <c r="D14" s="34"/>
      <c r="E14" s="34"/>
      <c r="F14" s="34"/>
      <c r="G14" s="34"/>
      <c r="H14" s="34"/>
      <c r="I14" s="34"/>
      <c r="J14" s="35"/>
      <c r="M14" s="36" t="s">
        <v>34</v>
      </c>
      <c r="O14" s="83">
        <f>SQRT(O11+O12)</f>
        <v>774.32717883950795</v>
      </c>
      <c r="P14" s="68" t="s">
        <v>36</v>
      </c>
    </row>
    <row r="15" spans="1:19" ht="18" thickBot="1" x14ac:dyDescent="0.25">
      <c r="A15" s="2"/>
      <c r="B15" s="34"/>
      <c r="C15" s="34"/>
      <c r="D15" s="27" t="s">
        <v>98</v>
      </c>
      <c r="E15" s="22" t="s">
        <v>99</v>
      </c>
      <c r="F15" s="34"/>
      <c r="G15" s="34"/>
      <c r="H15" s="34"/>
      <c r="I15" s="34"/>
      <c r="J15" s="35"/>
    </row>
    <row r="16" spans="1:19" ht="17" thickBot="1" x14ac:dyDescent="0.25">
      <c r="A16" s="2"/>
      <c r="B16" s="34"/>
      <c r="C16" s="34"/>
      <c r="D16" s="10">
        <v>6</v>
      </c>
      <c r="E16" s="6">
        <v>0.39</v>
      </c>
      <c r="F16" s="34"/>
      <c r="G16" s="34"/>
      <c r="H16" s="34"/>
      <c r="I16" s="34"/>
      <c r="J16" s="35"/>
      <c r="M16" s="114" t="s">
        <v>53</v>
      </c>
      <c r="N16" s="115">
        <f>O14/S9</f>
        <v>0.18325351976942647</v>
      </c>
    </row>
    <row r="17" spans="1:20" x14ac:dyDescent="0.2">
      <c r="A17" s="2"/>
      <c r="B17" s="34"/>
      <c r="C17" s="34"/>
      <c r="D17" s="10">
        <v>12</v>
      </c>
      <c r="E17" s="6">
        <v>0.64700000000000002</v>
      </c>
      <c r="F17" s="34"/>
      <c r="G17" s="34"/>
      <c r="H17" s="34"/>
      <c r="I17" s="34"/>
      <c r="J17" s="35"/>
    </row>
    <row r="18" spans="1:20" x14ac:dyDescent="0.2">
      <c r="A18" s="2"/>
      <c r="B18" s="34"/>
      <c r="C18" s="34"/>
      <c r="D18" s="10">
        <v>18</v>
      </c>
      <c r="E18" s="6">
        <v>0.77300000000000002</v>
      </c>
      <c r="F18" s="34"/>
      <c r="G18" s="34"/>
      <c r="H18" s="34"/>
      <c r="I18" s="34"/>
      <c r="J18" s="35"/>
    </row>
    <row r="19" spans="1:20" x14ac:dyDescent="0.2">
      <c r="A19" s="2"/>
      <c r="B19" s="34"/>
      <c r="C19" s="34"/>
      <c r="D19" s="10">
        <v>24</v>
      </c>
      <c r="E19" s="6">
        <v>0.84</v>
      </c>
      <c r="F19" s="34"/>
      <c r="G19" s="34"/>
      <c r="H19" s="34"/>
      <c r="I19" s="34"/>
      <c r="J19" s="35"/>
      <c r="L19" s="7" t="s">
        <v>4</v>
      </c>
    </row>
    <row r="20" spans="1:20" x14ac:dyDescent="0.2">
      <c r="A20" s="2"/>
      <c r="B20" s="34"/>
      <c r="C20" s="34"/>
      <c r="D20" s="10">
        <v>30</v>
      </c>
      <c r="E20" s="6">
        <v>0.88100000000000001</v>
      </c>
      <c r="F20" s="34"/>
      <c r="G20" s="34"/>
      <c r="H20" s="34"/>
      <c r="I20" s="34"/>
      <c r="J20" s="35"/>
      <c r="M20" s="36" t="s">
        <v>187</v>
      </c>
    </row>
    <row r="21" spans="1:20" x14ac:dyDescent="0.2">
      <c r="A21" s="2"/>
      <c r="B21" s="34"/>
      <c r="C21" s="34"/>
      <c r="D21" s="10">
        <v>36</v>
      </c>
      <c r="E21" s="6">
        <v>0.90700000000000003</v>
      </c>
      <c r="F21" s="34"/>
      <c r="G21" s="34"/>
      <c r="H21" s="34"/>
      <c r="I21" s="34"/>
      <c r="J21" s="35"/>
      <c r="M21" s="36" t="s">
        <v>106</v>
      </c>
    </row>
    <row r="22" spans="1:20" ht="17" x14ac:dyDescent="0.2">
      <c r="A22" s="2"/>
      <c r="B22" s="34"/>
      <c r="C22" s="34"/>
      <c r="D22" s="28" t="s">
        <v>100</v>
      </c>
      <c r="E22" s="17" t="s">
        <v>100</v>
      </c>
      <c r="F22" s="34"/>
      <c r="G22" s="34"/>
      <c r="H22" s="34"/>
      <c r="I22" s="34"/>
      <c r="J22" s="35"/>
      <c r="M22" s="36" t="s">
        <v>107</v>
      </c>
    </row>
    <row r="23" spans="1:20" x14ac:dyDescent="0.2">
      <c r="A23" s="2"/>
      <c r="B23" s="34"/>
      <c r="C23" s="34"/>
      <c r="D23" s="10">
        <v>114</v>
      </c>
      <c r="E23" s="6">
        <v>0.98299999999999998</v>
      </c>
      <c r="F23" s="34"/>
      <c r="G23" s="34"/>
      <c r="H23" s="34"/>
      <c r="I23" s="34"/>
      <c r="J23" s="35"/>
    </row>
    <row r="24" spans="1:20" x14ac:dyDescent="0.2">
      <c r="A24" s="2"/>
      <c r="B24" s="34"/>
      <c r="C24" s="34"/>
      <c r="D24" s="10">
        <v>120</v>
      </c>
      <c r="E24" s="6">
        <v>0.98399999999999999</v>
      </c>
      <c r="F24" s="34"/>
      <c r="G24" s="34"/>
      <c r="H24" s="34"/>
      <c r="I24" s="34"/>
      <c r="J24" s="35"/>
      <c r="M24" s="36" t="s">
        <v>188</v>
      </c>
    </row>
    <row r="25" spans="1:20" x14ac:dyDescent="0.2">
      <c r="A25" s="2"/>
      <c r="B25" s="34"/>
      <c r="C25" s="34"/>
      <c r="D25" s="34"/>
      <c r="E25" s="34"/>
      <c r="F25" s="34"/>
      <c r="G25" s="34"/>
      <c r="H25" s="34"/>
      <c r="I25" s="34"/>
      <c r="J25" s="35"/>
    </row>
    <row r="26" spans="1:20" x14ac:dyDescent="0.2">
      <c r="A26" s="2"/>
      <c r="B26" s="34" t="s">
        <v>101</v>
      </c>
      <c r="C26" s="34"/>
      <c r="D26" s="34"/>
      <c r="E26" s="34"/>
      <c r="F26" s="34"/>
      <c r="G26" s="34"/>
      <c r="H26" s="34"/>
      <c r="I26" s="34"/>
      <c r="J26" s="35"/>
      <c r="M26" s="36" t="s">
        <v>189</v>
      </c>
    </row>
    <row r="27" spans="1:20" x14ac:dyDescent="0.2">
      <c r="A27" s="2"/>
      <c r="B27" s="119" t="s">
        <v>234</v>
      </c>
      <c r="C27" s="34"/>
      <c r="D27" s="34"/>
      <c r="E27" s="34"/>
      <c r="F27" s="34"/>
      <c r="G27" s="34"/>
      <c r="H27" s="34"/>
      <c r="I27" s="34"/>
      <c r="J27" s="35"/>
    </row>
    <row r="28" spans="1:20" x14ac:dyDescent="0.2">
      <c r="A28" s="2"/>
      <c r="B28" s="34"/>
      <c r="C28" s="34"/>
      <c r="D28" s="34"/>
      <c r="E28" s="34"/>
      <c r="F28" s="34"/>
      <c r="G28" s="34"/>
      <c r="H28" s="34"/>
      <c r="I28" s="34"/>
      <c r="J28" s="35"/>
    </row>
    <row r="29" spans="1:20" ht="19" x14ac:dyDescent="0.25">
      <c r="A29" s="2"/>
      <c r="B29" s="120" t="s">
        <v>219</v>
      </c>
      <c r="C29" s="34"/>
      <c r="D29" s="34"/>
      <c r="E29" s="34"/>
      <c r="F29" s="65">
        <v>600000</v>
      </c>
      <c r="G29" s="34"/>
      <c r="H29" s="34"/>
      <c r="I29" s="34"/>
      <c r="J29" s="35"/>
      <c r="L29" s="3" t="s">
        <v>129</v>
      </c>
    </row>
    <row r="30" spans="1:20" ht="16" customHeight="1" x14ac:dyDescent="0.2">
      <c r="A30" s="2"/>
      <c r="B30" s="34"/>
      <c r="C30" s="34"/>
      <c r="D30" s="34"/>
      <c r="E30" s="34"/>
      <c r="F30" s="34"/>
      <c r="G30" s="34"/>
      <c r="H30" s="34"/>
      <c r="I30" s="34"/>
      <c r="J30" s="35"/>
      <c r="L30" s="156" t="s">
        <v>175</v>
      </c>
      <c r="M30" s="156"/>
      <c r="N30" s="156"/>
      <c r="O30" s="156"/>
      <c r="P30" s="156"/>
      <c r="Q30" s="156"/>
      <c r="R30" s="156"/>
      <c r="S30" s="156"/>
      <c r="T30" s="84"/>
    </row>
    <row r="31" spans="1:20" x14ac:dyDescent="0.2">
      <c r="A31" s="2"/>
      <c r="B31" s="34"/>
      <c r="C31" s="34"/>
      <c r="D31" s="34"/>
      <c r="E31" s="34"/>
      <c r="F31" s="34"/>
      <c r="G31" s="34"/>
      <c r="H31" s="34"/>
      <c r="I31" s="34"/>
      <c r="J31" s="35"/>
      <c r="L31" s="156"/>
      <c r="M31" s="156"/>
      <c r="N31" s="156"/>
      <c r="O31" s="156"/>
      <c r="P31" s="156"/>
      <c r="Q31" s="156"/>
      <c r="R31" s="156"/>
      <c r="S31" s="156"/>
    </row>
    <row r="32" spans="1:20" x14ac:dyDescent="0.2">
      <c r="A32" s="34" t="s">
        <v>0</v>
      </c>
      <c r="B32" s="34" t="s">
        <v>102</v>
      </c>
      <c r="C32" s="34"/>
      <c r="D32" s="34"/>
      <c r="E32" s="34"/>
      <c r="F32" s="34"/>
      <c r="G32" s="34"/>
      <c r="H32" s="34"/>
      <c r="I32" s="34"/>
      <c r="J32" s="35"/>
      <c r="L32" s="156"/>
      <c r="M32" s="156"/>
      <c r="N32" s="156"/>
      <c r="O32" s="156"/>
      <c r="P32" s="156"/>
      <c r="Q32" s="156"/>
      <c r="R32" s="156"/>
      <c r="S32" s="156"/>
    </row>
    <row r="33" spans="1:12" x14ac:dyDescent="0.2">
      <c r="A33" s="2"/>
      <c r="B33" s="34" t="s">
        <v>103</v>
      </c>
      <c r="C33" s="34"/>
      <c r="D33" s="34"/>
      <c r="E33" s="34"/>
      <c r="F33" s="34"/>
      <c r="G33" s="34"/>
      <c r="H33" s="34"/>
      <c r="I33" s="34"/>
      <c r="J33" s="35"/>
    </row>
    <row r="34" spans="1:12" x14ac:dyDescent="0.2">
      <c r="A34" s="2"/>
      <c r="B34" s="34"/>
      <c r="C34" s="34"/>
      <c r="D34" s="34"/>
      <c r="E34" s="34"/>
      <c r="F34" s="34"/>
      <c r="G34" s="34"/>
      <c r="H34" s="34"/>
      <c r="I34" s="34"/>
      <c r="J34" s="35"/>
    </row>
    <row r="35" spans="1:12" ht="19" x14ac:dyDescent="0.25">
      <c r="A35" s="34" t="s">
        <v>1</v>
      </c>
      <c r="B35" s="34" t="s">
        <v>104</v>
      </c>
      <c r="C35" s="34"/>
      <c r="D35" s="34"/>
      <c r="E35" s="34"/>
      <c r="F35" s="34"/>
      <c r="G35" s="34"/>
      <c r="H35" s="34"/>
      <c r="I35" s="34"/>
      <c r="J35" s="35"/>
      <c r="L35" s="3" t="s">
        <v>220</v>
      </c>
    </row>
    <row r="36" spans="1:12" x14ac:dyDescent="0.2">
      <c r="A36" s="2"/>
      <c r="B36" s="34"/>
      <c r="C36" s="34"/>
      <c r="D36" s="34"/>
      <c r="E36" s="34"/>
      <c r="F36" s="34"/>
      <c r="G36" s="34"/>
      <c r="H36" s="34"/>
      <c r="I36" s="34"/>
      <c r="J36" s="35"/>
      <c r="L36" s="113" t="s">
        <v>221</v>
      </c>
    </row>
    <row r="37" spans="1:12" ht="17" thickBot="1" x14ac:dyDescent="0.25">
      <c r="A37" s="2"/>
      <c r="B37" s="34"/>
      <c r="C37" s="34"/>
      <c r="D37" s="34"/>
      <c r="E37" s="34"/>
      <c r="F37" s="34"/>
      <c r="G37" s="34"/>
      <c r="H37" s="34"/>
      <c r="I37" s="34"/>
      <c r="J37" s="35"/>
    </row>
    <row r="38" spans="1:12" ht="17" thickBot="1" x14ac:dyDescent="0.25">
      <c r="A38" s="152" t="s">
        <v>176</v>
      </c>
      <c r="B38" s="153"/>
      <c r="C38" s="153"/>
      <c r="D38" s="153"/>
      <c r="E38" s="153"/>
      <c r="F38" s="153"/>
      <c r="G38" s="153"/>
      <c r="H38" s="153"/>
      <c r="I38" s="153"/>
      <c r="J38" s="154"/>
    </row>
    <row r="40" spans="1:12" ht="19" x14ac:dyDescent="0.25">
      <c r="A40" s="3"/>
    </row>
    <row r="45" spans="1:12" x14ac:dyDescent="0.2">
      <c r="K45" s="5"/>
    </row>
    <row r="46" spans="1:12" x14ac:dyDescent="0.2">
      <c r="K46" s="5"/>
    </row>
    <row r="47" spans="1:12" x14ac:dyDescent="0.2">
      <c r="K47" s="5"/>
    </row>
    <row r="48" spans="1:12" x14ac:dyDescent="0.2">
      <c r="K48" s="5"/>
    </row>
    <row r="51" spans="11:14" x14ac:dyDescent="0.2">
      <c r="K51" s="5"/>
    </row>
    <row r="52" spans="11:14" x14ac:dyDescent="0.2">
      <c r="K52" s="5"/>
    </row>
    <row r="53" spans="11:14" x14ac:dyDescent="0.2">
      <c r="L53" s="5"/>
    </row>
    <row r="59" spans="11:14" x14ac:dyDescent="0.2">
      <c r="L59" s="5"/>
      <c r="M59" s="5"/>
      <c r="N59" s="5"/>
    </row>
    <row r="60" spans="11:14" x14ac:dyDescent="0.2">
      <c r="L60" s="5"/>
      <c r="M60" s="5"/>
      <c r="N60" s="5"/>
    </row>
    <row r="61" spans="11:14" x14ac:dyDescent="0.2">
      <c r="L61" s="5"/>
      <c r="M61" s="5"/>
      <c r="N61" s="5"/>
    </row>
    <row r="62" spans="11:14" x14ac:dyDescent="0.2">
      <c r="L62" s="5"/>
      <c r="M62" s="5"/>
      <c r="N62" s="5"/>
    </row>
    <row r="63" spans="11:14" x14ac:dyDescent="0.2">
      <c r="L63" s="5"/>
      <c r="M63" s="5"/>
      <c r="N63" s="5"/>
    </row>
    <row r="64" spans="11:14" x14ac:dyDescent="0.2">
      <c r="L64" s="5"/>
      <c r="M64" s="5"/>
      <c r="N64" s="5"/>
    </row>
    <row r="65" spans="12:14" x14ac:dyDescent="0.2">
      <c r="L65" s="5"/>
      <c r="M65" s="5"/>
      <c r="N65" s="5"/>
    </row>
    <row r="66" spans="12:14" x14ac:dyDescent="0.2">
      <c r="M66" s="38"/>
    </row>
    <row r="67" spans="12:14" x14ac:dyDescent="0.2">
      <c r="L67" s="5"/>
      <c r="M67" s="5"/>
      <c r="N67" s="5"/>
    </row>
    <row r="68" spans="12:14" x14ac:dyDescent="0.2">
      <c r="L68" s="5"/>
      <c r="M68" s="5"/>
      <c r="N68" s="5"/>
    </row>
    <row r="69" spans="12:14" x14ac:dyDescent="0.2">
      <c r="L69" s="5"/>
      <c r="M69" s="5"/>
      <c r="N69" s="5"/>
    </row>
    <row r="70" spans="12:14" x14ac:dyDescent="0.2">
      <c r="L70" s="5"/>
      <c r="M70" s="5"/>
      <c r="N70" s="5"/>
    </row>
    <row r="71" spans="12:14" ht="39" customHeight="1" x14ac:dyDescent="0.2">
      <c r="L71" s="5"/>
      <c r="M71" s="5"/>
      <c r="N71" s="5"/>
    </row>
    <row r="72" spans="12:14" x14ac:dyDescent="0.2">
      <c r="L72" s="5"/>
      <c r="M72" s="5"/>
      <c r="N72" s="5"/>
    </row>
    <row r="73" spans="12:14" x14ac:dyDescent="0.2">
      <c r="L73" s="5"/>
      <c r="M73" s="5"/>
      <c r="N73" s="5"/>
    </row>
    <row r="74" spans="12:14" x14ac:dyDescent="0.2">
      <c r="L74" s="5"/>
      <c r="M74" s="5"/>
      <c r="N74" s="5"/>
    </row>
    <row r="75" spans="12:14" x14ac:dyDescent="0.2">
      <c r="L75" s="5"/>
      <c r="M75" s="5"/>
      <c r="N75" s="5"/>
    </row>
    <row r="76" spans="12:14" x14ac:dyDescent="0.2">
      <c r="M76" s="38"/>
    </row>
    <row r="77" spans="12:14" x14ac:dyDescent="0.2">
      <c r="L77" s="5"/>
      <c r="M77" s="5"/>
      <c r="N77" s="5"/>
    </row>
    <row r="78" spans="12:14" x14ac:dyDescent="0.2">
      <c r="L78" s="5"/>
      <c r="M78" s="5"/>
      <c r="N78" s="5"/>
    </row>
    <row r="79" spans="12:14" x14ac:dyDescent="0.2">
      <c r="L79" s="5"/>
      <c r="M79" s="5"/>
      <c r="N79" s="5"/>
    </row>
    <row r="80" spans="12:14" x14ac:dyDescent="0.2">
      <c r="L80" s="5"/>
      <c r="M80" s="5"/>
      <c r="N80" s="5"/>
    </row>
    <row r="81" spans="1:14" x14ac:dyDescent="0.2">
      <c r="L81" s="5"/>
      <c r="M81" s="5"/>
      <c r="N81" s="5"/>
    </row>
    <row r="82" spans="1:14" x14ac:dyDescent="0.2">
      <c r="L82" s="5"/>
      <c r="M82" s="5"/>
      <c r="N82" s="5"/>
    </row>
    <row r="83" spans="1:14" x14ac:dyDescent="0.2">
      <c r="L83" s="5"/>
      <c r="M83" s="5"/>
      <c r="N83" s="5"/>
    </row>
    <row r="84" spans="1:14" x14ac:dyDescent="0.2">
      <c r="L84" s="5"/>
      <c r="M84" s="5"/>
      <c r="N84" s="5"/>
    </row>
    <row r="85" spans="1:14" x14ac:dyDescent="0.2">
      <c r="L85" s="5"/>
      <c r="M85" s="5"/>
      <c r="N85" s="5"/>
    </row>
    <row r="86" spans="1:14" x14ac:dyDescent="0.2">
      <c r="M86" s="38"/>
    </row>
    <row r="87" spans="1:14" x14ac:dyDescent="0.2">
      <c r="L87" s="5"/>
      <c r="M87" s="5"/>
      <c r="N87" s="5"/>
    </row>
    <row r="88" spans="1:14" x14ac:dyDescent="0.2">
      <c r="L88" s="5"/>
      <c r="M88" s="5"/>
      <c r="N88" s="5"/>
    </row>
    <row r="89" spans="1:14" x14ac:dyDescent="0.2">
      <c r="L89" s="5"/>
      <c r="M89" s="5"/>
      <c r="N89" s="5"/>
    </row>
    <row r="90" spans="1:14" x14ac:dyDescent="0.2">
      <c r="L90" s="5"/>
      <c r="M90" s="5"/>
      <c r="N90" s="5"/>
    </row>
    <row r="91" spans="1:14" x14ac:dyDescent="0.2">
      <c r="L91" s="5"/>
      <c r="M91" s="5"/>
      <c r="N91" s="5"/>
    </row>
    <row r="92" spans="1:14" x14ac:dyDescent="0.2">
      <c r="L92" s="5"/>
      <c r="M92" s="5"/>
      <c r="N92" s="5"/>
    </row>
    <row r="93" spans="1:14" x14ac:dyDescent="0.2">
      <c r="L93" s="5"/>
      <c r="M93" s="5"/>
      <c r="N93" s="5"/>
    </row>
    <row r="94" spans="1:14" x14ac:dyDescent="0.2">
      <c r="L94" s="5"/>
      <c r="M94" s="5"/>
      <c r="N94" s="5"/>
    </row>
    <row r="95" spans="1:14" x14ac:dyDescent="0.2">
      <c r="A95" s="5"/>
      <c r="B95" s="5"/>
      <c r="C95" s="5"/>
      <c r="D95" s="5"/>
      <c r="E95" s="5"/>
      <c r="F95" s="5"/>
      <c r="G95" s="5"/>
      <c r="H95" s="5"/>
      <c r="I95" s="5"/>
      <c r="J95" s="5"/>
      <c r="L95" s="5"/>
      <c r="M95" s="5"/>
      <c r="N95" s="5"/>
    </row>
    <row r="96" spans="1:14" x14ac:dyDescent="0.2">
      <c r="A96" s="5"/>
      <c r="B96" s="5"/>
      <c r="C96" s="5"/>
      <c r="D96" s="5"/>
      <c r="E96" s="5"/>
      <c r="F96" s="5"/>
      <c r="G96" s="5"/>
      <c r="H96" s="5"/>
      <c r="I96" s="5"/>
      <c r="J96" s="5"/>
      <c r="M96" s="38"/>
    </row>
    <row r="97" spans="1:65"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row>
    <row r="98" spans="1:65"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row>
    <row r="99" spans="1:65"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row>
    <row r="100" spans="1:65"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row>
    <row r="101" spans="1:65"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row>
    <row r="102" spans="1:65"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row>
    <row r="103" spans="1:65"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row>
    <row r="104" spans="1:65"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row>
    <row r="105" spans="1:65"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row>
    <row r="106" spans="1:65"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row>
    <row r="107" spans="1:65"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row>
    <row r="108" spans="1:65"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row>
    <row r="109" spans="1:65"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row>
    <row r="110" spans="1:65"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row>
    <row r="111" spans="1:65"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row>
    <row r="112" spans="1:65"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row>
    <row r="113" spans="1:65"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row>
    <row r="114" spans="1:65"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row>
    <row r="115" spans="1:65"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row>
    <row r="116" spans="1:65"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row>
    <row r="117" spans="1:65"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row>
    <row r="118" spans="1:65"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row>
    <row r="119" spans="1:65"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row>
    <row r="120" spans="1:65"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row>
    <row r="121" spans="1:65"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row>
    <row r="122" spans="1:65"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row>
    <row r="123" spans="1:65"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row>
    <row r="124" spans="1:65"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row>
    <row r="125" spans="1:65"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row>
    <row r="126" spans="1:65"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row>
    <row r="127" spans="1:65"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row>
    <row r="128" spans="1:65"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row>
    <row r="129" spans="1:65"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row>
    <row r="130" spans="1:65"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row>
    <row r="131" spans="1:65"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row>
    <row r="132" spans="1:65"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row>
    <row r="133" spans="1:65"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row>
    <row r="134" spans="1:65"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row>
    <row r="135" spans="1:65"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row>
    <row r="136" spans="1:65"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row>
    <row r="137" spans="1:65"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row>
    <row r="138" spans="1:65"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row>
    <row r="139" spans="1:65"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row>
    <row r="140" spans="1:65"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row>
    <row r="141" spans="1:65"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row>
    <row r="142" spans="1:65"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row>
    <row r="143" spans="1:65"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row>
    <row r="144" spans="1:65"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row>
    <row r="145" spans="1:65"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row>
    <row r="146" spans="1:65"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row>
    <row r="147" spans="1:65"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row>
    <row r="148" spans="1:65"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row>
    <row r="149" spans="1:65"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row>
    <row r="150" spans="1:6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row>
    <row r="151" spans="1:6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row>
    <row r="152" spans="1:6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row>
    <row r="153" spans="1:6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row>
    <row r="154" spans="1:6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row>
    <row r="155" spans="1:6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row>
    <row r="156" spans="1:6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row>
    <row r="157" spans="1:6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row>
    <row r="158" spans="1:6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row>
    <row r="159" spans="1:6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row>
    <row r="160" spans="1:6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row>
    <row r="161" spans="1:6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row>
    <row r="162" spans="1:6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row>
    <row r="163" spans="1:6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row>
    <row r="164" spans="1:6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row>
    <row r="165" spans="1:6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row>
    <row r="166" spans="1:6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row>
    <row r="167" spans="1:6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row>
    <row r="168" spans="1:6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row>
    <row r="169" spans="1:6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row>
    <row r="170" spans="1:6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row>
    <row r="171" spans="1:6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row>
    <row r="172" spans="1:6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row>
    <row r="173" spans="1:6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row>
    <row r="174" spans="1:6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row>
    <row r="175" spans="1:6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row>
    <row r="176" spans="1:6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row>
    <row r="177" spans="1:6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row>
    <row r="178" spans="1:6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row>
    <row r="179" spans="1:6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row>
    <row r="180" spans="1:65"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row>
    <row r="181" spans="1:65"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row>
    <row r="182" spans="1:65"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row>
    <row r="183" spans="1:65"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row>
    <row r="184" spans="1:65"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row>
    <row r="185" spans="1:65"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row>
    <row r="186" spans="1:65"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row>
    <row r="187" spans="1:65"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row>
    <row r="188" spans="1:65"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row>
    <row r="189" spans="1:65"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row>
    <row r="190" spans="1:65"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row>
    <row r="191" spans="1:65"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row>
    <row r="192" spans="1:65"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row>
    <row r="193" spans="1:65"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row>
    <row r="194" spans="1:65"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row>
    <row r="195" spans="1:65"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row>
    <row r="196" spans="1:65"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row>
    <row r="197" spans="1:65" x14ac:dyDescent="0.2">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row>
    <row r="198" spans="1:65" x14ac:dyDescent="0.2">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row>
  </sheetData>
  <mergeCells count="5">
    <mergeCell ref="C5:F5"/>
    <mergeCell ref="A38:J38"/>
    <mergeCell ref="L30:S32"/>
    <mergeCell ref="Q4:Q5"/>
    <mergeCell ref="C6:C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889FB-38B8-A54B-960D-933D380AA1BC}">
  <dimension ref="A1:BM195"/>
  <sheetViews>
    <sheetView zoomScaleNormal="100" workbookViewId="0"/>
  </sheetViews>
  <sheetFormatPr baseColWidth="10" defaultColWidth="10.83203125" defaultRowHeight="16" outlineLevelCol="1" x14ac:dyDescent="0.2"/>
  <cols>
    <col min="1" max="1" width="4.6640625" style="36" customWidth="1"/>
    <col min="2" max="2" width="10.83203125" style="36" customWidth="1"/>
    <col min="3" max="4" width="11.6640625" style="36" customWidth="1"/>
    <col min="5" max="7" width="10.83203125" style="36"/>
    <col min="8" max="8" width="12" style="36" customWidth="1"/>
    <col min="9" max="9" width="10.83203125" style="36" customWidth="1"/>
    <col min="10" max="10" width="12" style="36" customWidth="1"/>
    <col min="11" max="11" width="11.83203125" style="36" bestFit="1" customWidth="1"/>
    <col min="12" max="20" width="10.83203125" style="36" hidden="1" customWidth="1" outlineLevel="1"/>
    <col min="21" max="21" width="10.83203125" style="36" collapsed="1"/>
    <col min="22" max="16384" width="10.83203125" style="36"/>
  </cols>
  <sheetData>
    <row r="1" spans="1:20" ht="19" x14ac:dyDescent="0.25">
      <c r="A1" s="1" t="s">
        <v>200</v>
      </c>
      <c r="B1" s="19"/>
      <c r="C1" s="33"/>
      <c r="D1" s="33"/>
      <c r="E1" s="33"/>
      <c r="F1" s="34"/>
      <c r="G1" s="34"/>
      <c r="H1" s="34"/>
      <c r="I1" s="34"/>
      <c r="J1" s="35"/>
      <c r="K1" s="3" t="s">
        <v>177</v>
      </c>
    </row>
    <row r="2" spans="1:20" x14ac:dyDescent="0.2">
      <c r="A2" s="2"/>
      <c r="B2" s="34"/>
      <c r="C2" s="34"/>
      <c r="D2" s="34"/>
      <c r="E2" s="34"/>
      <c r="F2" s="34"/>
      <c r="G2" s="34"/>
      <c r="H2" s="34"/>
      <c r="I2" s="34"/>
      <c r="J2" s="35"/>
      <c r="L2" s="7" t="s">
        <v>3</v>
      </c>
    </row>
    <row r="3" spans="1:20" x14ac:dyDescent="0.2">
      <c r="A3" s="2"/>
      <c r="B3" s="34" t="s">
        <v>108</v>
      </c>
      <c r="C3" s="34"/>
      <c r="D3" s="34"/>
      <c r="E3" s="34"/>
      <c r="F3" s="34"/>
      <c r="G3" s="34"/>
      <c r="H3" s="34"/>
      <c r="I3" s="34"/>
      <c r="J3" s="35"/>
      <c r="L3" s="7"/>
      <c r="M3" s="36" t="s">
        <v>117</v>
      </c>
      <c r="N3" s="38"/>
    </row>
    <row r="4" spans="1:20" x14ac:dyDescent="0.2">
      <c r="A4" s="2"/>
      <c r="B4" s="34"/>
      <c r="C4" s="34"/>
      <c r="D4" s="34"/>
      <c r="E4" s="34"/>
      <c r="F4" s="34"/>
      <c r="G4" s="34"/>
      <c r="H4" s="34"/>
      <c r="I4" s="34"/>
      <c r="J4" s="35"/>
      <c r="L4" s="7"/>
      <c r="M4" s="7"/>
      <c r="N4" s="38"/>
    </row>
    <row r="5" spans="1:20" x14ac:dyDescent="0.2">
      <c r="A5" s="2"/>
      <c r="B5" s="34"/>
      <c r="C5" s="151" t="s">
        <v>11</v>
      </c>
      <c r="D5" s="151"/>
      <c r="E5" s="151"/>
      <c r="F5" s="151"/>
      <c r="G5" s="34"/>
      <c r="H5" s="34"/>
      <c r="I5" s="34"/>
      <c r="J5" s="35"/>
      <c r="L5" s="7"/>
      <c r="M5" s="7"/>
      <c r="N5" s="38"/>
    </row>
    <row r="6" spans="1:20" ht="34" x14ac:dyDescent="0.2">
      <c r="A6" s="2"/>
      <c r="B6" s="34"/>
      <c r="C6" s="11" t="s">
        <v>7</v>
      </c>
      <c r="D6" s="12" t="s">
        <v>8</v>
      </c>
      <c r="E6" s="12" t="s">
        <v>9</v>
      </c>
      <c r="F6" s="12" t="s">
        <v>10</v>
      </c>
      <c r="G6" s="34"/>
      <c r="H6" s="71" t="s">
        <v>109</v>
      </c>
      <c r="I6" s="71" t="s">
        <v>110</v>
      </c>
      <c r="J6" s="35"/>
      <c r="M6" s="39" t="s">
        <v>17</v>
      </c>
      <c r="N6" s="40" t="s">
        <v>19</v>
      </c>
      <c r="O6" s="40" t="s">
        <v>20</v>
      </c>
      <c r="P6" s="40" t="s">
        <v>118</v>
      </c>
      <c r="Q6" s="41" t="s">
        <v>44</v>
      </c>
      <c r="R6" s="40" t="s">
        <v>45</v>
      </c>
      <c r="S6" s="41" t="s">
        <v>46</v>
      </c>
      <c r="T6" s="36" t="s">
        <v>23</v>
      </c>
    </row>
    <row r="7" spans="1:20" x14ac:dyDescent="0.2">
      <c r="A7" s="2"/>
      <c r="B7" s="34"/>
      <c r="C7" s="10">
        <v>2013</v>
      </c>
      <c r="D7" s="14">
        <v>1350</v>
      </c>
      <c r="E7" s="14">
        <v>2240</v>
      </c>
      <c r="F7" s="14">
        <v>2470</v>
      </c>
      <c r="G7" s="34"/>
      <c r="H7" s="89">
        <v>4000</v>
      </c>
      <c r="I7" s="89">
        <v>75000</v>
      </c>
      <c r="J7" s="35"/>
      <c r="M7" s="42">
        <f>C7</f>
        <v>2013</v>
      </c>
      <c r="N7" s="43">
        <v>30</v>
      </c>
      <c r="O7" s="44">
        <f t="shared" ref="O7" si="0">1-EXP(-((N7/$D$16)^$D$17))</f>
        <v>0.96258568015337442</v>
      </c>
      <c r="P7" s="83">
        <f>I7</f>
        <v>75000</v>
      </c>
      <c r="Q7" s="83">
        <f>P7*O7</f>
        <v>72193.926011503077</v>
      </c>
      <c r="R7" s="44">
        <f>1-O7</f>
        <v>3.7414319846625577E-2</v>
      </c>
      <c r="S7" s="90">
        <f>$S$12*P7</f>
        <v>2483.6634610120823</v>
      </c>
      <c r="T7" s="47">
        <f>R7*S7</f>
        <v>92.924579121683124</v>
      </c>
    </row>
    <row r="8" spans="1:20" x14ac:dyDescent="0.2">
      <c r="A8" s="2"/>
      <c r="B8" s="34"/>
      <c r="C8" s="10">
        <v>2014</v>
      </c>
      <c r="D8" s="14">
        <v>1230</v>
      </c>
      <c r="E8" s="14">
        <v>2150</v>
      </c>
      <c r="F8" s="6"/>
      <c r="G8" s="34"/>
      <c r="H8" s="89">
        <v>4300</v>
      </c>
      <c r="I8" s="89">
        <v>80000</v>
      </c>
      <c r="J8" s="35"/>
      <c r="M8" s="74">
        <f>C8</f>
        <v>2014</v>
      </c>
      <c r="N8" s="75">
        <v>18</v>
      </c>
      <c r="O8" s="76">
        <f>1-EXP(-((N8/$D$16)^$D$17))</f>
        <v>0.87441127534512797</v>
      </c>
      <c r="P8" s="91">
        <f>I8</f>
        <v>80000</v>
      </c>
      <c r="Q8" s="91">
        <f t="shared" ref="Q8:Q9" si="1">P8*O8</f>
        <v>69952.902027610238</v>
      </c>
      <c r="R8" s="76">
        <f>1-O8</f>
        <v>0.12558872465487203</v>
      </c>
      <c r="S8" s="92">
        <f>$S$12*P8</f>
        <v>2649.2410250795547</v>
      </c>
      <c r="T8" s="93">
        <f t="shared" ref="T8:T9" si="2">R8*S8</f>
        <v>332.71480164310714</v>
      </c>
    </row>
    <row r="9" spans="1:20" x14ac:dyDescent="0.2">
      <c r="A9" s="2"/>
      <c r="B9" s="34"/>
      <c r="C9" s="10">
        <v>2015</v>
      </c>
      <c r="D9" s="14">
        <v>1530</v>
      </c>
      <c r="E9" s="6"/>
      <c r="F9" s="6"/>
      <c r="G9" s="34"/>
      <c r="H9" s="89">
        <v>5000</v>
      </c>
      <c r="I9" s="89">
        <v>81000</v>
      </c>
      <c r="J9" s="35"/>
      <c r="L9" s="7"/>
      <c r="M9" s="77">
        <f>C9</f>
        <v>2015</v>
      </c>
      <c r="N9" s="78">
        <v>6</v>
      </c>
      <c r="O9" s="79">
        <f t="shared" ref="O9" si="3">1-EXP(-((N9/$D$16)^$D$17))</f>
        <v>0.53786097198189764</v>
      </c>
      <c r="P9" s="94">
        <f>I9</f>
        <v>81000</v>
      </c>
      <c r="Q9" s="94">
        <f t="shared" si="1"/>
        <v>43566.738730533711</v>
      </c>
      <c r="R9" s="79">
        <f>1-O9</f>
        <v>0.46213902801810236</v>
      </c>
      <c r="S9" s="95">
        <f>$S$12*P9</f>
        <v>2682.3565378930489</v>
      </c>
      <c r="T9" s="96">
        <f t="shared" si="2"/>
        <v>1239.6216432198958</v>
      </c>
    </row>
    <row r="10" spans="1:20" x14ac:dyDescent="0.2">
      <c r="A10" s="2"/>
      <c r="B10" s="34"/>
      <c r="C10" s="34"/>
      <c r="D10" s="34"/>
      <c r="E10" s="34"/>
      <c r="F10" s="34"/>
      <c r="G10" s="34"/>
      <c r="H10" s="34"/>
      <c r="I10" s="34"/>
      <c r="J10" s="35"/>
      <c r="M10" s="57"/>
      <c r="Q10" s="46">
        <f t="shared" ref="Q10" si="4">SUM(Q7:Q9)</f>
        <v>185713.56676964703</v>
      </c>
      <c r="S10" s="45"/>
      <c r="T10" s="16">
        <f>SUM(T7:T9)</f>
        <v>1665.2610239846861</v>
      </c>
    </row>
    <row r="11" spans="1:20" x14ac:dyDescent="0.2">
      <c r="A11" s="2"/>
      <c r="B11" s="34"/>
      <c r="C11" s="34"/>
      <c r="D11" s="34"/>
      <c r="E11" s="34"/>
      <c r="F11" s="34"/>
      <c r="G11" s="34"/>
      <c r="H11" s="34"/>
      <c r="I11" s="34"/>
      <c r="J11" s="35"/>
    </row>
    <row r="12" spans="1:20" x14ac:dyDescent="0.2">
      <c r="A12" s="2"/>
      <c r="B12" s="34" t="s">
        <v>111</v>
      </c>
      <c r="C12" s="34"/>
      <c r="D12" s="34"/>
      <c r="E12" s="34"/>
      <c r="F12" s="34"/>
      <c r="G12" s="34"/>
      <c r="H12" s="34"/>
      <c r="I12" s="34"/>
      <c r="J12" s="35"/>
      <c r="R12" s="97" t="s">
        <v>119</v>
      </c>
      <c r="S12" s="44">
        <f>SUM(F7,E8,D9)/Q10</f>
        <v>3.3115512813494431E-2</v>
      </c>
    </row>
    <row r="13" spans="1:20" x14ac:dyDescent="0.2">
      <c r="A13" s="2"/>
      <c r="B13" s="34" t="s">
        <v>112</v>
      </c>
      <c r="C13" s="34"/>
      <c r="D13" s="34"/>
      <c r="E13" s="34"/>
      <c r="F13" s="34"/>
      <c r="G13" s="34"/>
      <c r="H13" s="34"/>
      <c r="I13" s="34"/>
      <c r="J13" s="35"/>
    </row>
    <row r="14" spans="1:20" x14ac:dyDescent="0.2">
      <c r="A14" s="2"/>
      <c r="B14" s="34" t="s">
        <v>56</v>
      </c>
      <c r="C14" s="34"/>
      <c r="D14" s="34"/>
      <c r="E14" s="34"/>
      <c r="F14" s="34"/>
      <c r="G14" s="34"/>
      <c r="H14" s="34"/>
      <c r="I14" s="34"/>
      <c r="J14" s="35"/>
      <c r="M14" s="121" t="s">
        <v>231</v>
      </c>
      <c r="N14" s="38">
        <f>D20/1000</f>
        <v>12.35</v>
      </c>
      <c r="O14" s="68" t="s">
        <v>121</v>
      </c>
    </row>
    <row r="15" spans="1:20" x14ac:dyDescent="0.2">
      <c r="A15" s="2"/>
      <c r="B15" s="34"/>
      <c r="C15" s="34"/>
      <c r="D15" s="34"/>
      <c r="E15" s="34"/>
      <c r="F15" s="34"/>
      <c r="G15" s="34"/>
      <c r="H15" s="34"/>
      <c r="I15" s="34"/>
      <c r="J15" s="35"/>
    </row>
    <row r="16" spans="1:20" x14ac:dyDescent="0.2">
      <c r="A16" s="2"/>
      <c r="B16" s="34"/>
      <c r="C16" s="61" t="s">
        <v>13</v>
      </c>
      <c r="D16" s="62">
        <v>8</v>
      </c>
      <c r="E16" s="34"/>
      <c r="F16" s="34"/>
      <c r="G16" s="34"/>
      <c r="H16" s="34"/>
      <c r="I16" s="34"/>
      <c r="J16" s="35"/>
      <c r="M16" s="7" t="s">
        <v>120</v>
      </c>
    </row>
    <row r="17" spans="1:16" x14ac:dyDescent="0.2">
      <c r="A17" s="2"/>
      <c r="B17" s="34"/>
      <c r="C17" s="61" t="s">
        <v>14</v>
      </c>
      <c r="D17" s="62">
        <v>0.9</v>
      </c>
      <c r="E17" s="34"/>
      <c r="F17" s="34"/>
      <c r="G17" s="34"/>
      <c r="H17" s="34"/>
      <c r="I17" s="34"/>
      <c r="J17" s="35"/>
    </row>
    <row r="18" spans="1:16" x14ac:dyDescent="0.2">
      <c r="A18" s="2"/>
      <c r="B18" s="34"/>
      <c r="C18" s="34"/>
      <c r="D18" s="34"/>
      <c r="E18" s="34"/>
      <c r="F18" s="34"/>
      <c r="G18" s="34"/>
      <c r="H18" s="34"/>
      <c r="I18" s="34"/>
      <c r="J18" s="35"/>
      <c r="M18" s="36" t="s">
        <v>33</v>
      </c>
      <c r="O18" s="70">
        <f>N14*T10</f>
        <v>20565.973646210874</v>
      </c>
    </row>
    <row r="19" spans="1:16" x14ac:dyDescent="0.2">
      <c r="A19" s="2"/>
      <c r="B19" s="98" t="s">
        <v>190</v>
      </c>
      <c r="C19" s="34"/>
      <c r="D19" s="34"/>
      <c r="E19" s="34"/>
      <c r="F19" s="34"/>
      <c r="G19" s="65"/>
      <c r="H19" s="34"/>
      <c r="I19" s="34"/>
      <c r="J19" s="35"/>
      <c r="M19" s="36" t="s">
        <v>35</v>
      </c>
      <c r="O19" s="70">
        <f>200^2</f>
        <v>40000</v>
      </c>
    </row>
    <row r="20" spans="1:16" x14ac:dyDescent="0.2">
      <c r="A20" s="2"/>
      <c r="B20" s="120" t="s">
        <v>230</v>
      </c>
      <c r="C20" s="34"/>
      <c r="D20" s="89">
        <v>12350</v>
      </c>
      <c r="E20" s="34"/>
      <c r="F20" s="34"/>
      <c r="G20" s="65"/>
      <c r="H20" s="34"/>
      <c r="I20" s="34"/>
      <c r="J20" s="35"/>
    </row>
    <row r="21" spans="1:16" x14ac:dyDescent="0.2">
      <c r="A21" s="2"/>
      <c r="B21" s="98"/>
      <c r="C21" s="34"/>
      <c r="D21" s="34"/>
      <c r="E21" s="34"/>
      <c r="F21" s="34"/>
      <c r="G21" s="65"/>
      <c r="H21" s="34"/>
      <c r="I21" s="34"/>
      <c r="J21" s="35"/>
      <c r="M21" s="36" t="s">
        <v>34</v>
      </c>
      <c r="O21" s="83">
        <f>SQRT(O18+O19)</f>
        <v>246.10155149086498</v>
      </c>
      <c r="P21" s="68" t="s">
        <v>36</v>
      </c>
    </row>
    <row r="22" spans="1:16" x14ac:dyDescent="0.2">
      <c r="A22" s="2"/>
      <c r="B22" s="98" t="s">
        <v>191</v>
      </c>
      <c r="C22" s="34"/>
      <c r="D22" s="34"/>
      <c r="E22" s="34"/>
      <c r="F22" s="34"/>
      <c r="G22" s="65"/>
      <c r="H22" s="34"/>
      <c r="I22" s="34"/>
      <c r="J22" s="35"/>
      <c r="M22" s="7"/>
      <c r="N22" s="7"/>
      <c r="O22" s="13"/>
    </row>
    <row r="23" spans="1:16" x14ac:dyDescent="0.2">
      <c r="A23" s="2"/>
      <c r="B23" s="34"/>
      <c r="C23" s="34"/>
      <c r="D23" s="34"/>
      <c r="E23" s="34"/>
      <c r="F23" s="34"/>
      <c r="G23" s="65"/>
      <c r="H23" s="34"/>
      <c r="I23" s="34"/>
      <c r="J23" s="35"/>
      <c r="M23" s="36" t="s">
        <v>122</v>
      </c>
    </row>
    <row r="24" spans="1:16" ht="17" thickBot="1" x14ac:dyDescent="0.25">
      <c r="A24" s="2"/>
      <c r="B24" s="98" t="s">
        <v>192</v>
      </c>
      <c r="C24" s="34"/>
      <c r="D24" s="34"/>
      <c r="E24" s="34"/>
      <c r="F24" s="34"/>
      <c r="G24" s="65"/>
      <c r="H24" s="34"/>
      <c r="I24" s="34"/>
      <c r="J24" s="35"/>
    </row>
    <row r="25" spans="1:16" ht="17" thickBot="1" x14ac:dyDescent="0.25">
      <c r="A25" s="2"/>
      <c r="B25" s="98"/>
      <c r="C25" s="34"/>
      <c r="D25" s="34"/>
      <c r="E25" s="34"/>
      <c r="F25" s="34"/>
      <c r="G25" s="65"/>
      <c r="H25" s="34"/>
      <c r="I25" s="34"/>
      <c r="J25" s="35"/>
      <c r="M25" s="130" t="s">
        <v>123</v>
      </c>
      <c r="N25" s="131"/>
      <c r="O25" s="132">
        <f>T10+0.524*O21</f>
        <v>1794.2182369658992</v>
      </c>
    </row>
    <row r="26" spans="1:16" x14ac:dyDescent="0.2">
      <c r="A26" s="2"/>
      <c r="B26" s="98" t="s">
        <v>113</v>
      </c>
      <c r="C26" s="34"/>
      <c r="D26" s="34"/>
      <c r="E26" s="34"/>
      <c r="F26" s="34"/>
      <c r="G26" s="65"/>
      <c r="H26" s="34"/>
      <c r="I26" s="34"/>
      <c r="J26" s="35"/>
    </row>
    <row r="27" spans="1:16" x14ac:dyDescent="0.2">
      <c r="A27" s="2"/>
      <c r="B27" s="98"/>
      <c r="C27" s="34"/>
      <c r="D27" s="34"/>
      <c r="E27" s="34"/>
      <c r="F27" s="34"/>
      <c r="G27" s="34"/>
      <c r="H27" s="34"/>
      <c r="I27" s="34"/>
      <c r="J27" s="35"/>
      <c r="M27" s="7" t="s">
        <v>124</v>
      </c>
    </row>
    <row r="28" spans="1:16" x14ac:dyDescent="0.2">
      <c r="A28" s="2"/>
      <c r="B28" s="34"/>
      <c r="C28" s="34"/>
      <c r="D28" s="34"/>
      <c r="E28" s="34"/>
      <c r="F28" s="34"/>
      <c r="G28" s="34"/>
      <c r="H28" s="34"/>
      <c r="I28" s="34"/>
      <c r="J28" s="35"/>
    </row>
    <row r="29" spans="1:16" x14ac:dyDescent="0.2">
      <c r="A29" s="34" t="s">
        <v>0</v>
      </c>
      <c r="B29" s="34" t="s">
        <v>114</v>
      </c>
      <c r="C29" s="34"/>
      <c r="D29" s="34"/>
      <c r="E29" s="34"/>
      <c r="F29" s="34"/>
      <c r="G29" s="34"/>
      <c r="H29" s="34"/>
      <c r="I29" s="34"/>
      <c r="J29" s="35"/>
    </row>
    <row r="30" spans="1:16" x14ac:dyDescent="0.2">
      <c r="A30" s="2"/>
      <c r="B30" s="34" t="s">
        <v>115</v>
      </c>
      <c r="C30" s="34"/>
      <c r="D30" s="34"/>
      <c r="E30" s="34"/>
      <c r="F30" s="34"/>
      <c r="G30" s="34"/>
      <c r="H30" s="34"/>
      <c r="I30" s="34"/>
      <c r="J30" s="35"/>
      <c r="L30" s="7" t="s">
        <v>4</v>
      </c>
    </row>
    <row r="31" spans="1:16" x14ac:dyDescent="0.2">
      <c r="A31" s="2"/>
      <c r="B31" s="34"/>
      <c r="C31" s="34"/>
      <c r="D31" s="34"/>
      <c r="E31" s="34"/>
      <c r="F31" s="34"/>
      <c r="G31" s="34"/>
      <c r="H31" s="34"/>
      <c r="I31" s="34"/>
      <c r="J31" s="35"/>
      <c r="M31" s="36" t="s">
        <v>125</v>
      </c>
    </row>
    <row r="32" spans="1:16" x14ac:dyDescent="0.2">
      <c r="A32" s="2"/>
      <c r="B32" s="34"/>
      <c r="C32" s="34"/>
      <c r="D32" s="34"/>
      <c r="E32" s="34"/>
      <c r="F32" s="34"/>
      <c r="G32" s="34"/>
      <c r="H32" s="34"/>
      <c r="I32" s="34"/>
      <c r="J32" s="35"/>
    </row>
    <row r="33" spans="1:20" x14ac:dyDescent="0.2">
      <c r="A33" s="34" t="s">
        <v>1</v>
      </c>
      <c r="B33" s="34" t="s">
        <v>116</v>
      </c>
      <c r="C33" s="34"/>
      <c r="D33" s="34"/>
      <c r="E33" s="34"/>
      <c r="F33" s="34"/>
      <c r="G33" s="34"/>
      <c r="H33" s="34"/>
      <c r="I33" s="34"/>
      <c r="J33" s="35"/>
      <c r="M33" s="36" t="s">
        <v>126</v>
      </c>
    </row>
    <row r="34" spans="1:20" x14ac:dyDescent="0.2">
      <c r="A34" s="2"/>
      <c r="B34" s="34"/>
      <c r="C34" s="34"/>
      <c r="D34" s="34"/>
      <c r="E34" s="34"/>
      <c r="F34" s="34"/>
      <c r="G34" s="34"/>
      <c r="H34" s="34"/>
      <c r="I34" s="34"/>
      <c r="J34" s="35"/>
    </row>
    <row r="35" spans="1:20" ht="17" thickBot="1" x14ac:dyDescent="0.25">
      <c r="A35" s="2"/>
      <c r="B35" s="34"/>
      <c r="C35" s="34"/>
      <c r="D35" s="34"/>
      <c r="E35" s="34"/>
      <c r="F35" s="34"/>
      <c r="G35" s="34"/>
      <c r="H35" s="34"/>
      <c r="I35" s="34"/>
      <c r="J35" s="35"/>
      <c r="M35" s="36" t="s">
        <v>127</v>
      </c>
    </row>
    <row r="36" spans="1:20" ht="17" thickBot="1" x14ac:dyDescent="0.25">
      <c r="A36" s="152" t="s">
        <v>176</v>
      </c>
      <c r="B36" s="153"/>
      <c r="C36" s="153"/>
      <c r="D36" s="153"/>
      <c r="E36" s="153"/>
      <c r="F36" s="153"/>
      <c r="G36" s="153"/>
      <c r="H36" s="153"/>
      <c r="I36" s="153"/>
      <c r="J36" s="154"/>
    </row>
    <row r="38" spans="1:20" ht="16.25" customHeight="1" x14ac:dyDescent="0.25">
      <c r="A38" s="3"/>
      <c r="L38" s="3" t="s">
        <v>129</v>
      </c>
    </row>
    <row r="39" spans="1:20" x14ac:dyDescent="0.2">
      <c r="L39" s="156" t="s">
        <v>128</v>
      </c>
      <c r="M39" s="156"/>
      <c r="N39" s="156"/>
      <c r="O39" s="156"/>
      <c r="P39" s="156"/>
      <c r="Q39" s="156"/>
      <c r="R39" s="156"/>
      <c r="S39" s="156"/>
      <c r="T39" s="84"/>
    </row>
    <row r="40" spans="1:20" x14ac:dyDescent="0.2">
      <c r="L40" s="156"/>
      <c r="M40" s="156"/>
      <c r="N40" s="156"/>
      <c r="O40" s="156"/>
      <c r="P40" s="156"/>
      <c r="Q40" s="156"/>
      <c r="R40" s="156"/>
      <c r="S40" s="156"/>
    </row>
    <row r="41" spans="1:20" x14ac:dyDescent="0.2">
      <c r="L41" s="156"/>
      <c r="M41" s="156"/>
      <c r="N41" s="156"/>
      <c r="O41" s="156"/>
      <c r="P41" s="156"/>
      <c r="Q41" s="156"/>
      <c r="R41" s="156"/>
      <c r="S41" s="156"/>
    </row>
    <row r="42" spans="1:20" x14ac:dyDescent="0.2">
      <c r="L42" s="156"/>
      <c r="M42" s="156"/>
      <c r="N42" s="156"/>
      <c r="O42" s="156"/>
      <c r="P42" s="156"/>
      <c r="Q42" s="156"/>
      <c r="R42" s="156"/>
      <c r="S42" s="156"/>
    </row>
    <row r="45" spans="1:20" ht="19" x14ac:dyDescent="0.25">
      <c r="L45" s="3" t="s">
        <v>220</v>
      </c>
    </row>
    <row r="46" spans="1:20" x14ac:dyDescent="0.2">
      <c r="L46" s="113" t="s">
        <v>222</v>
      </c>
    </row>
    <row r="53" spans="12:14" x14ac:dyDescent="0.2">
      <c r="L53" s="5"/>
      <c r="M53" s="38"/>
    </row>
    <row r="54" spans="12:14" x14ac:dyDescent="0.2">
      <c r="L54" s="5"/>
      <c r="M54" s="5"/>
      <c r="N54" s="5"/>
    </row>
    <row r="55" spans="12:14" x14ac:dyDescent="0.2">
      <c r="L55" s="5"/>
      <c r="M55" s="5"/>
      <c r="N55" s="5"/>
    </row>
    <row r="56" spans="12:14" x14ac:dyDescent="0.2">
      <c r="L56" s="5"/>
      <c r="M56" s="5"/>
      <c r="N56" s="5"/>
    </row>
    <row r="57" spans="12:14" x14ac:dyDescent="0.2">
      <c r="L57" s="5"/>
      <c r="M57" s="5"/>
      <c r="N57" s="5"/>
    </row>
    <row r="58" spans="12:14" x14ac:dyDescent="0.2">
      <c r="L58" s="5"/>
      <c r="M58" s="5"/>
      <c r="N58" s="5"/>
    </row>
    <row r="59" spans="12:14" x14ac:dyDescent="0.2">
      <c r="L59" s="5"/>
      <c r="M59" s="5"/>
      <c r="N59" s="5"/>
    </row>
    <row r="60" spans="12:14" x14ac:dyDescent="0.2">
      <c r="L60" s="5"/>
      <c r="M60" s="5"/>
      <c r="N60" s="5"/>
    </row>
    <row r="61" spans="12:14" x14ac:dyDescent="0.2">
      <c r="L61" s="5"/>
      <c r="M61" s="5"/>
      <c r="N61" s="5"/>
    </row>
    <row r="62" spans="12:14" x14ac:dyDescent="0.2">
      <c r="L62" s="5"/>
      <c r="M62" s="5"/>
      <c r="N62" s="5"/>
    </row>
    <row r="63" spans="12:14" x14ac:dyDescent="0.2">
      <c r="L63" s="5"/>
      <c r="M63" s="38"/>
    </row>
    <row r="64" spans="12:14" x14ac:dyDescent="0.2">
      <c r="L64" s="5"/>
      <c r="M64" s="5"/>
      <c r="N64" s="5"/>
    </row>
    <row r="65" spans="12:14" x14ac:dyDescent="0.2">
      <c r="L65" s="5"/>
      <c r="M65" s="5"/>
      <c r="N65" s="5"/>
    </row>
    <row r="66" spans="12:14" x14ac:dyDescent="0.2">
      <c r="L66" s="5"/>
      <c r="M66" s="5"/>
      <c r="N66" s="5"/>
    </row>
    <row r="67" spans="12:14" x14ac:dyDescent="0.2">
      <c r="L67" s="5"/>
      <c r="M67" s="5"/>
      <c r="N67" s="5"/>
    </row>
    <row r="68" spans="12:14" x14ac:dyDescent="0.2">
      <c r="L68" s="5"/>
      <c r="M68" s="5"/>
      <c r="N68" s="5"/>
    </row>
    <row r="69" spans="12:14" x14ac:dyDescent="0.2">
      <c r="L69" s="5"/>
      <c r="M69" s="5"/>
      <c r="N69" s="5"/>
    </row>
    <row r="70" spans="12:14" x14ac:dyDescent="0.2">
      <c r="L70" s="5"/>
      <c r="M70" s="5"/>
      <c r="N70" s="5"/>
    </row>
    <row r="71" spans="12:14" x14ac:dyDescent="0.2">
      <c r="L71" s="5"/>
      <c r="M71" s="5"/>
      <c r="N71" s="5"/>
    </row>
    <row r="72" spans="12:14" x14ac:dyDescent="0.2">
      <c r="L72" s="5"/>
      <c r="M72" s="5"/>
      <c r="N72" s="5"/>
    </row>
    <row r="73" spans="12:14" x14ac:dyDescent="0.2">
      <c r="M73" s="38"/>
    </row>
    <row r="74" spans="12:14" x14ac:dyDescent="0.2">
      <c r="L74" s="5"/>
      <c r="M74" s="5"/>
      <c r="N74" s="5"/>
    </row>
    <row r="75" spans="12:14" x14ac:dyDescent="0.2">
      <c r="L75" s="5"/>
      <c r="M75" s="5"/>
      <c r="N75" s="5"/>
    </row>
    <row r="76" spans="12:14" x14ac:dyDescent="0.2">
      <c r="L76" s="5"/>
      <c r="M76" s="5"/>
      <c r="N76" s="5"/>
    </row>
    <row r="77" spans="12:14" ht="68" customHeight="1" x14ac:dyDescent="0.2">
      <c r="L77" s="5"/>
      <c r="M77" s="5"/>
      <c r="N77" s="5"/>
    </row>
    <row r="78" spans="12:14" x14ac:dyDescent="0.2">
      <c r="L78" s="5"/>
      <c r="M78" s="5"/>
      <c r="N78" s="5"/>
    </row>
    <row r="79" spans="12:14" x14ac:dyDescent="0.2">
      <c r="L79" s="5"/>
      <c r="M79" s="5"/>
      <c r="N79" s="5"/>
    </row>
    <row r="80" spans="12:14" x14ac:dyDescent="0.2">
      <c r="L80" s="5"/>
      <c r="M80" s="5"/>
      <c r="N80" s="5"/>
    </row>
    <row r="81" spans="1:65" x14ac:dyDescent="0.2">
      <c r="L81" s="5"/>
      <c r="M81" s="5"/>
      <c r="N81" s="5"/>
    </row>
    <row r="82" spans="1:65" x14ac:dyDescent="0.2">
      <c r="L82" s="5"/>
      <c r="M82" s="5"/>
      <c r="N82" s="5"/>
    </row>
    <row r="83" spans="1:65" x14ac:dyDescent="0.2">
      <c r="M83" s="38"/>
    </row>
    <row r="84" spans="1:65" x14ac:dyDescent="0.2">
      <c r="L84" s="5"/>
      <c r="M84" s="5"/>
      <c r="N84" s="5"/>
    </row>
    <row r="85" spans="1:65" x14ac:dyDescent="0.2">
      <c r="L85" s="5"/>
      <c r="M85" s="5"/>
      <c r="N85" s="5"/>
    </row>
    <row r="86" spans="1:65" x14ac:dyDescent="0.2">
      <c r="L86" s="5"/>
      <c r="M86" s="5"/>
      <c r="N86" s="5"/>
    </row>
    <row r="87" spans="1:65" x14ac:dyDescent="0.2">
      <c r="L87" s="5"/>
      <c r="M87" s="5"/>
      <c r="N87" s="5"/>
    </row>
    <row r="88" spans="1:65" x14ac:dyDescent="0.2">
      <c r="L88" s="5"/>
      <c r="M88" s="5"/>
      <c r="N88" s="5"/>
    </row>
    <row r="89" spans="1:65" x14ac:dyDescent="0.2">
      <c r="L89" s="5"/>
      <c r="M89" s="5"/>
      <c r="N89" s="5"/>
    </row>
    <row r="90" spans="1:65" x14ac:dyDescent="0.2">
      <c r="L90" s="5"/>
      <c r="M90" s="5"/>
      <c r="N90" s="5"/>
    </row>
    <row r="91" spans="1:65" x14ac:dyDescent="0.2">
      <c r="A91" s="5"/>
      <c r="B91" s="5"/>
      <c r="C91" s="5"/>
      <c r="D91" s="5"/>
      <c r="E91" s="5"/>
      <c r="F91" s="5"/>
      <c r="G91" s="5"/>
      <c r="H91" s="5"/>
      <c r="I91" s="5"/>
      <c r="J91" s="5"/>
      <c r="L91" s="5"/>
      <c r="M91" s="5"/>
      <c r="N91" s="5"/>
    </row>
    <row r="92" spans="1:65" x14ac:dyDescent="0.2">
      <c r="A92" s="5"/>
      <c r="B92" s="5"/>
      <c r="C92" s="5"/>
      <c r="D92" s="5"/>
      <c r="E92" s="5"/>
      <c r="F92" s="5"/>
      <c r="G92" s="5"/>
      <c r="H92" s="5"/>
      <c r="I92" s="5"/>
      <c r="J92" s="5"/>
      <c r="L92" s="5"/>
      <c r="M92" s="5"/>
      <c r="N92" s="5"/>
    </row>
    <row r="93" spans="1:65" x14ac:dyDescent="0.2">
      <c r="A93" s="5"/>
      <c r="B93" s="5"/>
      <c r="C93" s="5"/>
      <c r="D93" s="5"/>
      <c r="E93" s="5"/>
      <c r="F93" s="5"/>
      <c r="G93" s="5"/>
      <c r="H93" s="5"/>
      <c r="I93" s="5"/>
      <c r="J93" s="5"/>
      <c r="K93" s="5"/>
      <c r="M93" s="38"/>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row>
    <row r="94" spans="1:65"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row>
    <row r="95" spans="1:65"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row>
    <row r="96" spans="1:65"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row>
    <row r="97" spans="1:65"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row>
    <row r="98" spans="1:65"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row>
    <row r="99" spans="1:65"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row>
    <row r="100" spans="1:65"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row>
    <row r="101" spans="1:65"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row>
    <row r="102" spans="1:65"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row>
    <row r="103" spans="1:65"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row>
    <row r="104" spans="1:65"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row>
    <row r="105" spans="1:65"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row>
    <row r="106" spans="1:65"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row>
    <row r="107" spans="1:65"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row>
    <row r="108" spans="1:65"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row>
    <row r="109" spans="1:65"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row>
    <row r="110" spans="1:65"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row>
    <row r="111" spans="1:65"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row>
    <row r="112" spans="1:65"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row>
    <row r="113" spans="1:65"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row>
    <row r="114" spans="1:65"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row>
    <row r="115" spans="1:65"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row>
    <row r="116" spans="1:65"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row>
    <row r="117" spans="1:65"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row>
    <row r="118" spans="1:65"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row>
    <row r="119" spans="1:65"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row>
    <row r="120" spans="1:65"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row>
    <row r="121" spans="1:65"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row>
    <row r="122" spans="1:65"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row>
    <row r="123" spans="1:65"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row>
    <row r="124" spans="1:65"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row>
    <row r="125" spans="1:65"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row>
    <row r="126" spans="1:65"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row>
    <row r="127" spans="1:65"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row>
    <row r="128" spans="1:65"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row>
    <row r="129" spans="1:65"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row>
    <row r="130" spans="1:65"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row>
    <row r="131" spans="1:65"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row>
    <row r="132" spans="1:65"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row>
    <row r="133" spans="1:65"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row>
    <row r="134" spans="1:65"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row>
    <row r="135" spans="1:65"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row>
    <row r="136" spans="1:65"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row>
    <row r="137" spans="1:65"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row>
    <row r="138" spans="1:65"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row>
    <row r="139" spans="1:65"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row>
    <row r="140" spans="1:65"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row>
    <row r="141" spans="1:65"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row>
    <row r="142" spans="1:65"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row>
    <row r="143" spans="1:65"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row>
    <row r="144" spans="1:65"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row>
    <row r="145" spans="1:65"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row>
    <row r="146" spans="1:65"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row>
    <row r="147" spans="1:65"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row>
    <row r="148" spans="1:65"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row>
    <row r="149" spans="1:65"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row>
    <row r="150" spans="1:6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row>
    <row r="151" spans="1:6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row>
    <row r="152" spans="1:6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row>
    <row r="153" spans="1:6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row>
    <row r="154" spans="1:6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row>
    <row r="155" spans="1:6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row>
    <row r="156" spans="1:6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row>
    <row r="157" spans="1:6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row>
    <row r="158" spans="1:6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row>
    <row r="159" spans="1:6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row>
    <row r="160" spans="1:6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row>
    <row r="161" spans="1:6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row>
    <row r="162" spans="1:6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row>
    <row r="163" spans="1:6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row>
    <row r="164" spans="1:6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row>
    <row r="165" spans="1:6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row>
    <row r="166" spans="1:6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row>
    <row r="167" spans="1:6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row>
    <row r="168" spans="1:6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row>
    <row r="169" spans="1:6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row>
    <row r="170" spans="1:6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row>
    <row r="171" spans="1:6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row>
    <row r="172" spans="1:6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row>
    <row r="173" spans="1:6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row>
    <row r="174" spans="1:6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row>
    <row r="175" spans="1:6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row>
    <row r="176" spans="1:6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row>
    <row r="177" spans="1:6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row>
    <row r="178" spans="1:6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row>
    <row r="179" spans="1:6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row>
    <row r="180" spans="1:65"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row>
    <row r="181" spans="1:65"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row>
    <row r="182" spans="1:65"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row>
    <row r="183" spans="1:65"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row>
    <row r="184" spans="1:65"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row>
    <row r="185" spans="1:65"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row>
    <row r="186" spans="1:65"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row>
    <row r="187" spans="1:65"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row>
    <row r="188" spans="1:65"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row>
    <row r="189" spans="1:65"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row>
    <row r="190" spans="1:65"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row>
    <row r="191" spans="1:65"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row>
    <row r="192" spans="1:65"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row>
    <row r="193" spans="11:65" x14ac:dyDescent="0.2">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row>
    <row r="194" spans="11:65" x14ac:dyDescent="0.2">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row>
    <row r="195" spans="11:65" x14ac:dyDescent="0.2">
      <c r="L195" s="5"/>
      <c r="M195" s="5"/>
      <c r="N195" s="5"/>
      <c r="O195" s="5"/>
      <c r="P195" s="5"/>
      <c r="Q195" s="5"/>
      <c r="R195" s="5"/>
      <c r="S195" s="5"/>
      <c r="T195" s="5"/>
      <c r="U195" s="5"/>
    </row>
  </sheetData>
  <mergeCells count="3">
    <mergeCell ref="C5:F5"/>
    <mergeCell ref="A36:J36"/>
    <mergeCell ref="L39:S4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AF63F-6757-334D-8DA4-92DAE58C8E92}">
  <dimension ref="A1:BM197"/>
  <sheetViews>
    <sheetView zoomScaleNormal="100" workbookViewId="0"/>
  </sheetViews>
  <sheetFormatPr baseColWidth="10" defaultColWidth="10.83203125" defaultRowHeight="16" outlineLevelCol="1" x14ac:dyDescent="0.2"/>
  <cols>
    <col min="1" max="1" width="4.6640625" style="36" customWidth="1"/>
    <col min="2" max="3" width="12.1640625" style="36" customWidth="1"/>
    <col min="4" max="4" width="10.83203125" style="36"/>
    <col min="5" max="5" width="11.83203125" style="36" customWidth="1"/>
    <col min="6" max="10" width="10.83203125" style="36"/>
    <col min="11" max="11" width="11.5" style="36" bestFit="1" customWidth="1"/>
    <col min="12" max="20" width="10.83203125" style="36" hidden="1" customWidth="1" outlineLevel="1"/>
    <col min="21" max="21" width="10.83203125" style="36" collapsed="1"/>
    <col min="22" max="16384" width="10.83203125" style="36"/>
  </cols>
  <sheetData>
    <row r="1" spans="1:19" ht="19" x14ac:dyDescent="0.25">
      <c r="A1" s="1" t="s">
        <v>201</v>
      </c>
      <c r="B1" s="19"/>
      <c r="C1" s="33"/>
      <c r="D1" s="33"/>
      <c r="E1" s="33"/>
      <c r="F1" s="85"/>
      <c r="G1" s="85"/>
      <c r="H1" s="85"/>
      <c r="I1" s="85"/>
      <c r="J1" s="86"/>
      <c r="K1" s="3" t="s">
        <v>177</v>
      </c>
    </row>
    <row r="2" spans="1:19" x14ac:dyDescent="0.2">
      <c r="A2" s="2"/>
      <c r="B2" s="34"/>
      <c r="C2" s="34"/>
      <c r="D2" s="34"/>
      <c r="E2" s="34"/>
      <c r="F2" s="34"/>
      <c r="G2" s="34"/>
      <c r="H2" s="34"/>
      <c r="I2" s="34"/>
      <c r="J2" s="35"/>
      <c r="L2" s="7" t="s">
        <v>3</v>
      </c>
      <c r="N2" s="38"/>
    </row>
    <row r="3" spans="1:19" x14ac:dyDescent="0.2">
      <c r="A3" s="2"/>
      <c r="B3" s="34" t="s">
        <v>6</v>
      </c>
      <c r="C3" s="34"/>
      <c r="D3" s="34"/>
      <c r="E3" s="34"/>
      <c r="F3" s="34"/>
      <c r="G3" s="34"/>
      <c r="H3" s="34"/>
      <c r="I3" s="34"/>
      <c r="J3" s="35"/>
      <c r="S3" s="5"/>
    </row>
    <row r="4" spans="1:19" x14ac:dyDescent="0.2">
      <c r="A4" s="2"/>
      <c r="B4" s="34"/>
      <c r="C4" s="34"/>
      <c r="D4" s="34"/>
      <c r="E4" s="34"/>
      <c r="F4" s="34"/>
      <c r="G4" s="34"/>
      <c r="H4" s="34"/>
      <c r="I4" s="34"/>
      <c r="J4" s="35"/>
      <c r="M4" s="7" t="s">
        <v>24</v>
      </c>
      <c r="S4" s="5"/>
    </row>
    <row r="5" spans="1:19" x14ac:dyDescent="0.2">
      <c r="A5" s="2"/>
      <c r="B5" s="34"/>
      <c r="C5" s="151" t="s">
        <v>130</v>
      </c>
      <c r="D5" s="151"/>
      <c r="E5" s="151"/>
      <c r="F5" s="151"/>
      <c r="G5" s="34"/>
      <c r="H5" s="34"/>
      <c r="I5" s="34"/>
      <c r="J5" s="35"/>
      <c r="S5" s="5"/>
    </row>
    <row r="6" spans="1:19" ht="34" x14ac:dyDescent="0.2">
      <c r="A6" s="2"/>
      <c r="B6" s="34"/>
      <c r="C6" s="24" t="s">
        <v>7</v>
      </c>
      <c r="D6" s="22" t="s">
        <v>8</v>
      </c>
      <c r="E6" s="22" t="s">
        <v>9</v>
      </c>
      <c r="F6" s="22" t="s">
        <v>10</v>
      </c>
      <c r="G6" s="34"/>
      <c r="H6" s="34"/>
      <c r="I6" s="34"/>
      <c r="J6" s="35"/>
      <c r="M6" s="58" t="s">
        <v>17</v>
      </c>
      <c r="N6" s="40">
        <v>12</v>
      </c>
      <c r="O6" s="40">
        <v>24</v>
      </c>
      <c r="P6" s="40">
        <v>36</v>
      </c>
      <c r="Q6" s="43" t="s">
        <v>25</v>
      </c>
      <c r="S6" s="5"/>
    </row>
    <row r="7" spans="1:19" x14ac:dyDescent="0.2">
      <c r="A7" s="2"/>
      <c r="B7" s="34"/>
      <c r="C7" s="10">
        <v>2013</v>
      </c>
      <c r="D7" s="14">
        <v>2040</v>
      </c>
      <c r="E7" s="6">
        <v>715</v>
      </c>
      <c r="F7" s="6">
        <v>485</v>
      </c>
      <c r="G7" s="34"/>
      <c r="H7" s="34"/>
      <c r="I7" s="34"/>
      <c r="J7" s="35"/>
      <c r="M7" s="63">
        <f>C15</f>
        <v>2013</v>
      </c>
      <c r="N7" s="48">
        <f>$Q7*N$11</f>
        <v>2121.5040000000004</v>
      </c>
      <c r="O7" s="48">
        <f>$Q7*O$11</f>
        <v>787.19999999999982</v>
      </c>
      <c r="P7" s="48">
        <f>$Q7*P$11</f>
        <v>330.62399999999985</v>
      </c>
      <c r="Q7" s="64">
        <f>F15+SUM(D7:F7)</f>
        <v>3936</v>
      </c>
      <c r="S7" s="5"/>
    </row>
    <row r="8" spans="1:19" x14ac:dyDescent="0.2">
      <c r="A8" s="2"/>
      <c r="B8" s="34"/>
      <c r="C8" s="10">
        <v>2014</v>
      </c>
      <c r="D8" s="14">
        <v>2860</v>
      </c>
      <c r="E8" s="6">
        <v>850</v>
      </c>
      <c r="F8" s="6"/>
      <c r="G8" s="34"/>
      <c r="H8" s="34"/>
      <c r="I8" s="34"/>
      <c r="J8" s="35"/>
      <c r="M8" s="63">
        <f>C16</f>
        <v>2014</v>
      </c>
      <c r="N8" s="48">
        <f>$Q8*N$11</f>
        <v>2707.3970000000004</v>
      </c>
      <c r="O8" s="48">
        <f>$Q8*O$11</f>
        <v>1004.5999999999998</v>
      </c>
      <c r="P8" s="48"/>
      <c r="Q8" s="64">
        <f>F16+SUM(D8:F8)</f>
        <v>5023</v>
      </c>
      <c r="S8" s="5"/>
    </row>
    <row r="9" spans="1:19" x14ac:dyDescent="0.2">
      <c r="A9" s="2"/>
      <c r="B9" s="34"/>
      <c r="C9" s="10">
        <v>2015</v>
      </c>
      <c r="D9" s="14">
        <v>2635</v>
      </c>
      <c r="E9" s="6"/>
      <c r="F9" s="6"/>
      <c r="G9" s="34"/>
      <c r="H9" s="34"/>
      <c r="I9" s="34"/>
      <c r="J9" s="35"/>
      <c r="M9" s="63">
        <f>C17</f>
        <v>2015</v>
      </c>
      <c r="N9" s="48">
        <f>$Q9*N$11</f>
        <v>2634.6320000000001</v>
      </c>
      <c r="O9" s="48"/>
      <c r="P9" s="48"/>
      <c r="Q9" s="64">
        <f>F17+SUM(D9:F9)</f>
        <v>4888</v>
      </c>
      <c r="S9" s="5"/>
    </row>
    <row r="10" spans="1:19" x14ac:dyDescent="0.2">
      <c r="A10" s="2"/>
      <c r="B10" s="34"/>
      <c r="C10" s="34"/>
      <c r="D10" s="34"/>
      <c r="E10" s="34"/>
      <c r="F10" s="34"/>
      <c r="G10" s="34"/>
      <c r="H10" s="34"/>
      <c r="I10" s="34"/>
      <c r="J10" s="35"/>
      <c r="S10" s="5"/>
    </row>
    <row r="11" spans="1:19" x14ac:dyDescent="0.2">
      <c r="A11" s="2"/>
      <c r="B11" s="34" t="s">
        <v>131</v>
      </c>
      <c r="C11" s="34"/>
      <c r="D11" s="34"/>
      <c r="E11" s="34"/>
      <c r="F11" s="34"/>
      <c r="G11" s="34"/>
      <c r="H11" s="34"/>
      <c r="I11" s="34"/>
      <c r="J11" s="35"/>
      <c r="M11" s="36" t="s">
        <v>31</v>
      </c>
      <c r="N11" s="44">
        <f>E17</f>
        <v>0.53900000000000003</v>
      </c>
      <c r="O11" s="44">
        <f>E16-E17</f>
        <v>0.19999999999999996</v>
      </c>
      <c r="P11" s="44">
        <f>E15-E16</f>
        <v>8.3999999999999964E-2</v>
      </c>
    </row>
    <row r="12" spans="1:19" x14ac:dyDescent="0.2">
      <c r="A12" s="2"/>
      <c r="B12" s="34" t="s">
        <v>132</v>
      </c>
      <c r="C12" s="34"/>
      <c r="D12" s="34"/>
      <c r="E12" s="34"/>
      <c r="F12" s="34"/>
      <c r="G12" s="34"/>
      <c r="H12" s="34"/>
      <c r="I12" s="34"/>
      <c r="J12" s="35"/>
    </row>
    <row r="13" spans="1:19" x14ac:dyDescent="0.2">
      <c r="A13" s="2"/>
      <c r="B13" s="34"/>
      <c r="C13" s="34"/>
      <c r="D13" s="34"/>
      <c r="E13" s="34"/>
      <c r="F13" s="34"/>
      <c r="G13" s="34"/>
      <c r="H13" s="34"/>
      <c r="I13" s="34"/>
      <c r="J13" s="35"/>
      <c r="M13" s="7" t="s">
        <v>26</v>
      </c>
    </row>
    <row r="14" spans="1:19" ht="31" customHeight="1" x14ac:dyDescent="0.2">
      <c r="A14" s="2"/>
      <c r="B14" s="34"/>
      <c r="C14" s="24" t="s">
        <v>7</v>
      </c>
      <c r="D14" s="22" t="s">
        <v>133</v>
      </c>
      <c r="E14" s="22" t="s">
        <v>134</v>
      </c>
      <c r="F14" s="22" t="s">
        <v>135</v>
      </c>
      <c r="G14" s="34"/>
      <c r="H14" s="34"/>
      <c r="I14" s="34"/>
      <c r="J14" s="35"/>
      <c r="M14" s="58" t="s">
        <v>17</v>
      </c>
      <c r="N14" s="40">
        <v>12</v>
      </c>
      <c r="O14" s="40">
        <v>24</v>
      </c>
      <c r="P14" s="40">
        <v>36</v>
      </c>
    </row>
    <row r="15" spans="1:19" x14ac:dyDescent="0.2">
      <c r="A15" s="2"/>
      <c r="B15" s="34"/>
      <c r="C15" s="10">
        <v>2013</v>
      </c>
      <c r="D15" s="14">
        <v>3240</v>
      </c>
      <c r="E15" s="21">
        <v>0.82299999999999995</v>
      </c>
      <c r="F15" s="6">
        <v>696</v>
      </c>
      <c r="G15" s="34"/>
      <c r="H15" s="34"/>
      <c r="I15" s="34"/>
      <c r="J15" s="35"/>
      <c r="M15" s="63">
        <f>C15</f>
        <v>2013</v>
      </c>
      <c r="N15" s="67">
        <f>(D7-N7)^2/N7</f>
        <v>3.1312229512647907</v>
      </c>
      <c r="O15" s="67">
        <f>(E7-O7)^2/O7</f>
        <v>6.6220020325202933</v>
      </c>
      <c r="P15" s="67">
        <f>(F7-P7)^2/P7</f>
        <v>72.081728416570044</v>
      </c>
    </row>
    <row r="16" spans="1:19" x14ac:dyDescent="0.2">
      <c r="A16" s="2"/>
      <c r="B16" s="34"/>
      <c r="C16" s="10">
        <v>2014</v>
      </c>
      <c r="D16" s="14">
        <v>3710</v>
      </c>
      <c r="E16" s="21">
        <v>0.73899999999999999</v>
      </c>
      <c r="F16" s="14">
        <v>1313</v>
      </c>
      <c r="G16" s="34"/>
      <c r="H16" s="34"/>
      <c r="I16" s="34"/>
      <c r="J16" s="35"/>
      <c r="M16" s="63">
        <f>C16</f>
        <v>2014</v>
      </c>
      <c r="N16" s="67">
        <f>(D8-N8)^2/N8</f>
        <v>8.6015001157938347</v>
      </c>
      <c r="O16" s="67">
        <f>(E8-O8)^2/O8</f>
        <v>23.79171809675487</v>
      </c>
      <c r="P16" s="48"/>
    </row>
    <row r="17" spans="1:16" x14ac:dyDescent="0.2">
      <c r="A17" s="2"/>
      <c r="B17" s="34"/>
      <c r="C17" s="10">
        <v>2015</v>
      </c>
      <c r="D17" s="14">
        <v>2635</v>
      </c>
      <c r="E17" s="21">
        <v>0.53900000000000003</v>
      </c>
      <c r="F17" s="14">
        <v>2253</v>
      </c>
      <c r="G17" s="34"/>
      <c r="H17" s="34"/>
      <c r="I17" s="34"/>
      <c r="J17" s="35"/>
      <c r="M17" s="63">
        <f>C17</f>
        <v>2015</v>
      </c>
      <c r="N17" s="67">
        <f>(D9-N9)^2/N9</f>
        <v>5.1401486051924699E-5</v>
      </c>
      <c r="O17" s="48"/>
      <c r="P17" s="48"/>
    </row>
    <row r="18" spans="1:16" x14ac:dyDescent="0.2">
      <c r="A18" s="2"/>
      <c r="B18" s="34"/>
      <c r="C18" s="34"/>
      <c r="D18" s="34"/>
      <c r="E18" s="34"/>
      <c r="F18" s="34"/>
      <c r="G18" s="34"/>
      <c r="H18" s="34"/>
      <c r="I18" s="34"/>
      <c r="J18" s="35"/>
    </row>
    <row r="19" spans="1:16" x14ac:dyDescent="0.2">
      <c r="A19" s="2"/>
      <c r="B19" s="34" t="s">
        <v>136</v>
      </c>
      <c r="C19" s="34"/>
      <c r="D19" s="34"/>
      <c r="E19" s="34"/>
      <c r="F19" s="34"/>
      <c r="G19" s="34"/>
      <c r="H19" s="34"/>
      <c r="I19" s="34"/>
      <c r="J19" s="35"/>
    </row>
    <row r="20" spans="1:16" x14ac:dyDescent="0.2">
      <c r="A20" s="2"/>
      <c r="B20" s="34"/>
      <c r="C20" s="34"/>
      <c r="D20" s="34"/>
      <c r="E20" s="34"/>
      <c r="F20" s="34"/>
      <c r="G20" s="34"/>
      <c r="H20" s="34"/>
      <c r="I20" s="34"/>
      <c r="J20" s="35"/>
      <c r="M20" s="36" t="s">
        <v>27</v>
      </c>
      <c r="N20" s="36">
        <v>6</v>
      </c>
    </row>
    <row r="21" spans="1:16" x14ac:dyDescent="0.2">
      <c r="A21" s="2"/>
      <c r="B21" s="34"/>
      <c r="C21" s="34"/>
      <c r="D21" s="34"/>
      <c r="E21" s="34"/>
      <c r="F21" s="34"/>
      <c r="G21" s="34"/>
      <c r="H21" s="34"/>
      <c r="I21" s="34"/>
      <c r="J21" s="35"/>
      <c r="M21" s="36" t="s">
        <v>28</v>
      </c>
      <c r="N21" s="36">
        <f>3+2</f>
        <v>5</v>
      </c>
      <c r="O21" s="68" t="s">
        <v>32</v>
      </c>
    </row>
    <row r="22" spans="1:16" x14ac:dyDescent="0.2">
      <c r="A22" s="87" t="s">
        <v>0</v>
      </c>
      <c r="B22" s="119" t="s">
        <v>211</v>
      </c>
      <c r="C22" s="34"/>
      <c r="D22" s="34"/>
      <c r="E22" s="34"/>
      <c r="F22" s="34"/>
      <c r="G22" s="34"/>
      <c r="H22" s="34"/>
      <c r="I22" s="34"/>
      <c r="J22" s="35"/>
      <c r="M22" s="36" t="s">
        <v>29</v>
      </c>
      <c r="N22" s="69">
        <f>SUM($N$15:$P$17)/(N20-N21)</f>
        <v>114.2282230143899</v>
      </c>
    </row>
    <row r="23" spans="1:16" x14ac:dyDescent="0.2">
      <c r="A23" s="2"/>
      <c r="B23" s="34"/>
      <c r="C23" s="34"/>
      <c r="D23" s="34"/>
      <c r="E23" s="34"/>
      <c r="F23" s="34"/>
      <c r="G23" s="34"/>
      <c r="H23" s="34"/>
      <c r="I23" s="34"/>
      <c r="J23" s="35"/>
    </row>
    <row r="24" spans="1:16" x14ac:dyDescent="0.2">
      <c r="A24" s="87" t="s">
        <v>1</v>
      </c>
      <c r="B24" s="119" t="s">
        <v>212</v>
      </c>
      <c r="C24" s="34"/>
      <c r="D24" s="34"/>
      <c r="E24" s="34"/>
      <c r="F24" s="34"/>
      <c r="G24" s="34"/>
      <c r="H24" s="34"/>
      <c r="I24" s="34"/>
      <c r="J24" s="35"/>
      <c r="M24" s="113" t="s">
        <v>210</v>
      </c>
      <c r="N24" s="36">
        <f>SUM(F15:F17)</f>
        <v>4262</v>
      </c>
    </row>
    <row r="25" spans="1:16" x14ac:dyDescent="0.2">
      <c r="A25" s="2"/>
      <c r="B25" s="34"/>
      <c r="C25" s="34"/>
      <c r="D25" s="34"/>
      <c r="E25" s="34"/>
      <c r="F25" s="34"/>
      <c r="G25" s="34"/>
      <c r="H25" s="34"/>
      <c r="I25" s="34"/>
      <c r="J25" s="35"/>
    </row>
    <row r="26" spans="1:16" x14ac:dyDescent="0.2">
      <c r="A26" s="87" t="s">
        <v>2</v>
      </c>
      <c r="B26" s="34" t="s">
        <v>137</v>
      </c>
      <c r="C26" s="34"/>
      <c r="D26" s="34"/>
      <c r="E26" s="34"/>
      <c r="F26" s="34"/>
      <c r="G26" s="34"/>
      <c r="H26" s="34"/>
      <c r="I26" s="34"/>
      <c r="J26" s="35"/>
      <c r="M26" s="36" t="s">
        <v>75</v>
      </c>
      <c r="N26" s="46">
        <f>N22*N24</f>
        <v>486840.68648732972</v>
      </c>
    </row>
    <row r="27" spans="1:16" ht="17" thickBot="1" x14ac:dyDescent="0.25">
      <c r="A27" s="2"/>
      <c r="B27" s="119" t="s">
        <v>213</v>
      </c>
      <c r="C27" s="34"/>
      <c r="D27" s="34"/>
      <c r="E27" s="34"/>
      <c r="F27" s="34"/>
      <c r="G27" s="34"/>
      <c r="H27" s="34"/>
      <c r="I27" s="34"/>
      <c r="J27" s="35"/>
    </row>
    <row r="28" spans="1:16" ht="17" thickBot="1" x14ac:dyDescent="0.25">
      <c r="A28" s="2"/>
      <c r="B28" s="34"/>
      <c r="C28" s="34"/>
      <c r="D28" s="34"/>
      <c r="E28" s="34"/>
      <c r="F28" s="34"/>
      <c r="G28" s="34"/>
      <c r="H28" s="34"/>
      <c r="I28" s="34"/>
      <c r="J28" s="35"/>
      <c r="M28" s="114" t="s">
        <v>141</v>
      </c>
      <c r="N28" s="115">
        <f>SQRT(N26)/N24</f>
        <v>0.16371180155581591</v>
      </c>
    </row>
    <row r="29" spans="1:16" x14ac:dyDescent="0.2">
      <c r="A29" s="87" t="s">
        <v>138</v>
      </c>
      <c r="B29" s="34" t="s">
        <v>139</v>
      </c>
      <c r="C29" s="34"/>
      <c r="D29" s="34"/>
      <c r="E29" s="34"/>
      <c r="F29" s="34"/>
      <c r="G29" s="34"/>
      <c r="H29" s="34"/>
      <c r="I29" s="34"/>
      <c r="J29" s="35"/>
      <c r="N29" s="38"/>
    </row>
    <row r="30" spans="1:16" ht="17" thickBot="1" x14ac:dyDescent="0.25">
      <c r="A30" s="2"/>
      <c r="B30" s="119" t="s">
        <v>214</v>
      </c>
      <c r="C30" s="34"/>
      <c r="D30" s="34"/>
      <c r="E30" s="34"/>
      <c r="F30" s="34"/>
      <c r="G30" s="34"/>
      <c r="H30" s="34"/>
      <c r="I30" s="34"/>
      <c r="J30" s="35"/>
      <c r="L30" s="7" t="s">
        <v>4</v>
      </c>
    </row>
    <row r="31" spans="1:16" ht="17" thickBot="1" x14ac:dyDescent="0.25">
      <c r="A31" s="2"/>
      <c r="B31" s="34"/>
      <c r="C31" s="34"/>
      <c r="D31" s="34"/>
      <c r="E31" s="34"/>
      <c r="F31" s="34"/>
      <c r="G31" s="34"/>
      <c r="H31" s="34"/>
      <c r="I31" s="34"/>
      <c r="J31" s="35"/>
      <c r="M31" s="114" t="s">
        <v>142</v>
      </c>
      <c r="N31" s="115">
        <f>900/N24</f>
        <v>0.21116846550915064</v>
      </c>
    </row>
    <row r="32" spans="1:16" ht="17" thickBot="1" x14ac:dyDescent="0.25">
      <c r="A32" s="2"/>
      <c r="B32" s="34"/>
      <c r="C32" s="34"/>
      <c r="D32" s="34"/>
      <c r="E32" s="34"/>
      <c r="F32" s="34"/>
      <c r="G32" s="34"/>
      <c r="H32" s="34"/>
      <c r="I32" s="34"/>
      <c r="J32" s="35"/>
    </row>
    <row r="33" spans="1:20" ht="17" thickBot="1" x14ac:dyDescent="0.25">
      <c r="A33" s="152" t="s">
        <v>176</v>
      </c>
      <c r="B33" s="153"/>
      <c r="C33" s="153"/>
      <c r="D33" s="153"/>
      <c r="E33" s="153"/>
      <c r="F33" s="153"/>
      <c r="G33" s="153"/>
      <c r="H33" s="153"/>
      <c r="I33" s="153"/>
      <c r="J33" s="154"/>
      <c r="L33" s="7" t="s">
        <v>5</v>
      </c>
    </row>
    <row r="34" spans="1:20" x14ac:dyDescent="0.2">
      <c r="L34" s="156" t="s">
        <v>179</v>
      </c>
      <c r="M34" s="156"/>
      <c r="N34" s="156"/>
      <c r="O34" s="156"/>
      <c r="P34" s="156"/>
      <c r="Q34" s="156"/>
      <c r="R34" s="156"/>
      <c r="S34" s="156"/>
    </row>
    <row r="35" spans="1:20" ht="19" x14ac:dyDescent="0.25">
      <c r="A35" s="3"/>
      <c r="L35" s="156"/>
      <c r="M35" s="156"/>
      <c r="N35" s="156"/>
      <c r="O35" s="156"/>
      <c r="P35" s="156"/>
      <c r="Q35" s="156"/>
      <c r="R35" s="156"/>
      <c r="S35" s="156"/>
    </row>
    <row r="36" spans="1:20" x14ac:dyDescent="0.2">
      <c r="L36" s="156"/>
      <c r="M36" s="156"/>
      <c r="N36" s="156"/>
      <c r="O36" s="156"/>
      <c r="P36" s="156"/>
      <c r="Q36" s="156"/>
      <c r="R36" s="156"/>
      <c r="S36" s="156"/>
    </row>
    <row r="38" spans="1:20" x14ac:dyDescent="0.2">
      <c r="L38" s="7" t="s">
        <v>140</v>
      </c>
    </row>
    <row r="39" spans="1:20" x14ac:dyDescent="0.2">
      <c r="L39" s="163" t="s">
        <v>215</v>
      </c>
      <c r="M39" s="156"/>
      <c r="N39" s="156"/>
      <c r="O39" s="156"/>
      <c r="P39" s="156"/>
      <c r="Q39" s="156"/>
      <c r="R39" s="156"/>
      <c r="S39" s="156"/>
    </row>
    <row r="40" spans="1:20" x14ac:dyDescent="0.2">
      <c r="L40" s="156"/>
      <c r="M40" s="156"/>
      <c r="N40" s="156"/>
      <c r="O40" s="156"/>
      <c r="P40" s="156"/>
      <c r="Q40" s="156"/>
      <c r="R40" s="156"/>
      <c r="S40" s="156"/>
    </row>
    <row r="42" spans="1:20" ht="16" customHeight="1" x14ac:dyDescent="0.25">
      <c r="L42" s="3" t="s">
        <v>129</v>
      </c>
    </row>
    <row r="43" spans="1:20" x14ac:dyDescent="0.2">
      <c r="L43" s="156" t="s">
        <v>143</v>
      </c>
      <c r="M43" s="156"/>
      <c r="N43" s="156"/>
      <c r="O43" s="156"/>
      <c r="P43" s="156"/>
      <c r="Q43" s="156"/>
      <c r="R43" s="156"/>
      <c r="S43" s="156"/>
      <c r="T43" s="88"/>
    </row>
    <row r="44" spans="1:20" x14ac:dyDescent="0.2">
      <c r="L44" s="156"/>
      <c r="M44" s="156"/>
      <c r="N44" s="156"/>
      <c r="O44" s="156"/>
      <c r="P44" s="156"/>
      <c r="Q44" s="156"/>
      <c r="R44" s="156"/>
      <c r="S44" s="156"/>
    </row>
    <row r="45" spans="1:20" x14ac:dyDescent="0.2">
      <c r="L45" s="156"/>
      <c r="M45" s="156"/>
      <c r="N45" s="156"/>
      <c r="O45" s="156"/>
      <c r="P45" s="156"/>
      <c r="Q45" s="156"/>
      <c r="R45" s="156"/>
      <c r="S45" s="156"/>
    </row>
    <row r="46" spans="1:20" x14ac:dyDescent="0.2">
      <c r="L46" s="156"/>
      <c r="M46" s="156"/>
      <c r="N46" s="156"/>
      <c r="O46" s="156"/>
      <c r="P46" s="156"/>
      <c r="Q46" s="156"/>
      <c r="R46" s="156"/>
      <c r="S46" s="156"/>
    </row>
    <row r="48" spans="1:20" ht="19" x14ac:dyDescent="0.25">
      <c r="L48" s="3" t="s">
        <v>220</v>
      </c>
    </row>
    <row r="49" spans="12:12" x14ac:dyDescent="0.2">
      <c r="L49" s="113" t="s">
        <v>221</v>
      </c>
    </row>
    <row r="50" spans="12:12" x14ac:dyDescent="0.2">
      <c r="L50" s="5"/>
    </row>
    <row r="51" spans="12:12" x14ac:dyDescent="0.2">
      <c r="L51" s="5"/>
    </row>
    <row r="52" spans="12:12" x14ac:dyDescent="0.2">
      <c r="L52" s="5"/>
    </row>
    <row r="53" spans="12:12" x14ac:dyDescent="0.2">
      <c r="L53" s="5"/>
    </row>
    <row r="54" spans="12:12" x14ac:dyDescent="0.2">
      <c r="L54" s="5"/>
    </row>
    <row r="67" spans="12:14" x14ac:dyDescent="0.2">
      <c r="M67" s="38"/>
    </row>
    <row r="68" spans="12:14" x14ac:dyDescent="0.2">
      <c r="L68" s="5"/>
      <c r="M68" s="5"/>
      <c r="N68" s="5"/>
    </row>
    <row r="69" spans="12:14" x14ac:dyDescent="0.2">
      <c r="L69" s="5"/>
      <c r="M69" s="5"/>
      <c r="N69" s="5"/>
    </row>
    <row r="70" spans="12:14" x14ac:dyDescent="0.2">
      <c r="L70" s="5"/>
      <c r="M70" s="5"/>
      <c r="N70" s="5"/>
    </row>
    <row r="71" spans="12:14" x14ac:dyDescent="0.2">
      <c r="L71" s="5"/>
      <c r="M71" s="5"/>
      <c r="N71" s="5"/>
    </row>
    <row r="72" spans="12:14" x14ac:dyDescent="0.2">
      <c r="L72" s="5"/>
      <c r="M72" s="5"/>
      <c r="N72" s="5"/>
    </row>
    <row r="73" spans="12:14" x14ac:dyDescent="0.2">
      <c r="L73" s="5"/>
      <c r="M73" s="5"/>
      <c r="N73" s="5"/>
    </row>
    <row r="74" spans="12:14" x14ac:dyDescent="0.2">
      <c r="L74" s="5"/>
      <c r="M74" s="5"/>
      <c r="N74" s="5"/>
    </row>
    <row r="75" spans="12:14" x14ac:dyDescent="0.2">
      <c r="M75" s="38"/>
    </row>
    <row r="76" spans="12:14" x14ac:dyDescent="0.2">
      <c r="L76" s="5"/>
      <c r="M76" s="5"/>
      <c r="N76" s="5"/>
    </row>
    <row r="77" spans="12:14" x14ac:dyDescent="0.2">
      <c r="L77" s="5"/>
      <c r="M77" s="5"/>
      <c r="N77" s="5"/>
    </row>
    <row r="78" spans="12:14" x14ac:dyDescent="0.2">
      <c r="L78" s="5"/>
      <c r="M78" s="5"/>
      <c r="N78" s="5"/>
    </row>
    <row r="79" spans="12:14" x14ac:dyDescent="0.2">
      <c r="L79" s="5"/>
      <c r="M79" s="5"/>
      <c r="N79" s="5"/>
    </row>
    <row r="80" spans="12:14" x14ac:dyDescent="0.2">
      <c r="L80" s="5"/>
      <c r="M80" s="5"/>
      <c r="N80" s="5"/>
    </row>
    <row r="81" spans="1:65" x14ac:dyDescent="0.2">
      <c r="L81" s="5"/>
      <c r="M81" s="5"/>
      <c r="N81" s="5"/>
    </row>
    <row r="82" spans="1:65" x14ac:dyDescent="0.2">
      <c r="L82" s="5"/>
      <c r="M82" s="5"/>
      <c r="N82" s="5"/>
    </row>
    <row r="83" spans="1:65" x14ac:dyDescent="0.2">
      <c r="L83" s="5"/>
      <c r="M83" s="5"/>
      <c r="N83" s="5"/>
    </row>
    <row r="84" spans="1:65" x14ac:dyDescent="0.2">
      <c r="L84" s="5"/>
      <c r="M84" s="5"/>
      <c r="N84" s="5"/>
    </row>
    <row r="85" spans="1:65" x14ac:dyDescent="0.2">
      <c r="M85" s="38"/>
    </row>
    <row r="86" spans="1:65" x14ac:dyDescent="0.2">
      <c r="L86" s="5"/>
      <c r="M86" s="5"/>
      <c r="N86" s="5"/>
    </row>
    <row r="87" spans="1:65" x14ac:dyDescent="0.2">
      <c r="L87" s="5"/>
      <c r="M87" s="5"/>
      <c r="N87" s="5"/>
    </row>
    <row r="88" spans="1:65" x14ac:dyDescent="0.2">
      <c r="L88" s="5"/>
      <c r="M88" s="5"/>
      <c r="N88" s="5"/>
    </row>
    <row r="89" spans="1:65" x14ac:dyDescent="0.2">
      <c r="L89" s="5"/>
      <c r="M89" s="5"/>
      <c r="N89" s="5"/>
    </row>
    <row r="90" spans="1:65" x14ac:dyDescent="0.2">
      <c r="L90" s="5"/>
      <c r="M90" s="5"/>
      <c r="N90" s="5"/>
    </row>
    <row r="91" spans="1:65" x14ac:dyDescent="0.2">
      <c r="L91" s="5"/>
      <c r="M91" s="5"/>
      <c r="N91" s="5"/>
    </row>
    <row r="92" spans="1:65" x14ac:dyDescent="0.2">
      <c r="L92" s="5"/>
      <c r="M92" s="5"/>
      <c r="N92" s="5"/>
    </row>
    <row r="93" spans="1:65" x14ac:dyDescent="0.2">
      <c r="A93" s="5"/>
      <c r="B93" s="5"/>
      <c r="C93" s="5"/>
      <c r="D93" s="5"/>
      <c r="E93" s="5"/>
      <c r="F93" s="5"/>
      <c r="G93" s="5"/>
      <c r="H93" s="5"/>
      <c r="I93" s="5"/>
      <c r="J93" s="5"/>
      <c r="L93" s="5"/>
      <c r="M93" s="5"/>
      <c r="N93" s="5"/>
    </row>
    <row r="94" spans="1:65" x14ac:dyDescent="0.2">
      <c r="A94" s="5"/>
      <c r="B94" s="5"/>
      <c r="C94" s="5"/>
      <c r="D94" s="5"/>
      <c r="E94" s="5"/>
      <c r="F94" s="5"/>
      <c r="G94" s="5"/>
      <c r="H94" s="5"/>
      <c r="I94" s="5"/>
      <c r="J94" s="5"/>
      <c r="L94" s="5"/>
      <c r="M94" s="5"/>
      <c r="N94" s="5"/>
    </row>
    <row r="95" spans="1:65" x14ac:dyDescent="0.2">
      <c r="A95" s="5"/>
      <c r="B95" s="5"/>
      <c r="C95" s="5"/>
      <c r="D95" s="5"/>
      <c r="E95" s="5"/>
      <c r="F95" s="5"/>
      <c r="G95" s="5"/>
      <c r="H95" s="5"/>
      <c r="I95" s="5"/>
      <c r="J95" s="5"/>
      <c r="M95" s="38"/>
    </row>
    <row r="96" spans="1:65"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row>
    <row r="97" spans="1:65"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row>
    <row r="98" spans="1:65"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row>
    <row r="99" spans="1:65"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row>
    <row r="100" spans="1:65"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row>
    <row r="101" spans="1:65"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row>
    <row r="102" spans="1:65"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row>
    <row r="103" spans="1:65"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row>
    <row r="104" spans="1:65"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row>
    <row r="105" spans="1:65"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row>
    <row r="106" spans="1:65"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row>
    <row r="107" spans="1:65"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row>
    <row r="108" spans="1:65"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row>
    <row r="109" spans="1:65"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row>
    <row r="110" spans="1:65"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row>
    <row r="111" spans="1:65"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row>
    <row r="112" spans="1:65"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row>
    <row r="113" spans="1:65"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row>
    <row r="114" spans="1:65"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row>
    <row r="115" spans="1:65"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row>
    <row r="116" spans="1:65"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row>
    <row r="117" spans="1:65"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row>
    <row r="118" spans="1:65"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row>
    <row r="119" spans="1:65"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row>
    <row r="120" spans="1:65"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row>
    <row r="121" spans="1:65"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row>
    <row r="122" spans="1:65"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row>
    <row r="123" spans="1:65"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row>
    <row r="124" spans="1:65"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row>
    <row r="125" spans="1:65"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row>
    <row r="126" spans="1:65"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row>
    <row r="127" spans="1:65"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row>
    <row r="128" spans="1:65"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row>
    <row r="129" spans="1:65"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row>
    <row r="130" spans="1:65"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row>
    <row r="131" spans="1:65"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row>
    <row r="132" spans="1:65"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row>
    <row r="133" spans="1:65"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row>
    <row r="134" spans="1:65"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row>
    <row r="135" spans="1:65"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row>
    <row r="136" spans="1:65"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row>
    <row r="137" spans="1:65"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row>
    <row r="138" spans="1:65"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row>
    <row r="139" spans="1:65"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row>
    <row r="140" spans="1:65"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row>
    <row r="141" spans="1:65"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row>
    <row r="142" spans="1:65"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row>
    <row r="143" spans="1:65"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row>
    <row r="144" spans="1:65"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row>
    <row r="145" spans="1:65"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row>
    <row r="146" spans="1:65"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row>
    <row r="147" spans="1:65"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row>
    <row r="148" spans="1:65"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row>
    <row r="149" spans="1:65"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row>
    <row r="150" spans="1:6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row>
    <row r="151" spans="1:6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row>
    <row r="152" spans="1:6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row>
    <row r="153" spans="1:6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row>
    <row r="154" spans="1:6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row>
    <row r="155" spans="1:6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row>
    <row r="156" spans="1:6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row>
    <row r="157" spans="1:6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row>
    <row r="158" spans="1:6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row>
    <row r="159" spans="1:6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row>
    <row r="160" spans="1:6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row>
    <row r="161" spans="1:6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row>
    <row r="162" spans="1:6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row>
    <row r="163" spans="1:6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row>
    <row r="164" spans="1:6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row>
    <row r="165" spans="1:6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row>
    <row r="166" spans="1:6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row>
    <row r="167" spans="1:6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row>
    <row r="168" spans="1:6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row>
    <row r="169" spans="1:6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row>
    <row r="170" spans="1:6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row>
    <row r="171" spans="1:6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row>
    <row r="172" spans="1:6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row>
    <row r="173" spans="1:6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row>
    <row r="174" spans="1:6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row>
    <row r="175" spans="1:6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row>
    <row r="176" spans="1:6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row>
    <row r="177" spans="1:6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row>
    <row r="178" spans="1:6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row>
    <row r="179" spans="1:6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row>
    <row r="180" spans="1:65"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row>
    <row r="181" spans="1:65"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row>
    <row r="182" spans="1:65"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row>
    <row r="183" spans="1:65"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row>
    <row r="184" spans="1:65"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row>
    <row r="185" spans="1:65"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row>
    <row r="186" spans="1:65"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row>
    <row r="187" spans="1:65"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row>
    <row r="188" spans="1:65"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row>
    <row r="189" spans="1:65"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row>
    <row r="190" spans="1:65"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row>
    <row r="191" spans="1:65"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row>
    <row r="192" spans="1:65"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row>
    <row r="193" spans="1:65"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row>
    <row r="194" spans="1:65"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row>
    <row r="195" spans="1:65" x14ac:dyDescent="0.2">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row>
    <row r="196" spans="1:65" x14ac:dyDescent="0.2">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row>
    <row r="197" spans="1:65" x14ac:dyDescent="0.2">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row>
  </sheetData>
  <mergeCells count="5">
    <mergeCell ref="L43:S46"/>
    <mergeCell ref="C5:F5"/>
    <mergeCell ref="A33:J33"/>
    <mergeCell ref="L34:S36"/>
    <mergeCell ref="L39:S4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31</vt:i4>
      </vt:variant>
    </vt:vector>
  </HeadingPairs>
  <TitlesOfParts>
    <vt:vector size="31" baseType="lpstr">
      <vt:lpstr>Overview</vt:lpstr>
      <vt:lpstr>Q #1</vt:lpstr>
      <vt:lpstr>Q #2</vt:lpstr>
      <vt:lpstr>Q #3</vt:lpstr>
      <vt:lpstr>Q #4</vt:lpstr>
      <vt:lpstr>Q #5</vt:lpstr>
      <vt:lpstr>Q #6</vt:lpstr>
      <vt:lpstr>Q #7</vt:lpstr>
      <vt:lpstr>Q #8</vt:lpstr>
      <vt:lpstr>Q #9</vt:lpstr>
      <vt:lpstr>Q #10</vt:lpstr>
      <vt:lpstr>Q #11</vt:lpstr>
      <vt:lpstr>Q #12</vt:lpstr>
      <vt:lpstr>Q #13</vt:lpstr>
      <vt:lpstr>Q #14</vt:lpstr>
      <vt:lpstr>Q #15</vt:lpstr>
      <vt:lpstr>2011 #2</vt:lpstr>
      <vt:lpstr>2012 #2</vt:lpstr>
      <vt:lpstr>2013 #3</vt:lpstr>
      <vt:lpstr>2014 #3</vt:lpstr>
      <vt:lpstr>2014 #5</vt:lpstr>
      <vt:lpstr>2015 #2</vt:lpstr>
      <vt:lpstr>2016 #3</vt:lpstr>
      <vt:lpstr>2016 #4</vt:lpstr>
      <vt:lpstr>2017 #4</vt:lpstr>
      <vt:lpstr>2017 #5</vt:lpstr>
      <vt:lpstr>2018 #6</vt:lpstr>
      <vt:lpstr>2019 #5</vt:lpstr>
      <vt:lpstr>2019 #6</vt:lpstr>
      <vt:lpstr>2019 #8</vt:lpstr>
      <vt:lpstr>Essay Problems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Roll</dc:creator>
  <cp:lastModifiedBy>Steve Roll</cp:lastModifiedBy>
  <dcterms:created xsi:type="dcterms:W3CDTF">2020-08-07T14:18:21Z</dcterms:created>
  <dcterms:modified xsi:type="dcterms:W3CDTF">2024-12-20T16:03:32Z</dcterms:modified>
</cp:coreProperties>
</file>