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stephenroll/Rising Fellow Dropbox/Rising Fellow/_Products/Exam 5/Past CAS Exams/CAS Problems by Chapter/"/>
    </mc:Choice>
  </mc:AlternateContent>
  <xr:revisionPtr revIDLastSave="0" documentId="13_ncr:1_{C24E168C-FE31-204F-B4EE-6814617DE63C}" xr6:coauthVersionLast="47" xr6:coauthVersionMax="47" xr10:uidLastSave="{00000000-0000-0000-0000-000000000000}"/>
  <bookViews>
    <workbookView xWindow="100" yWindow="880" windowWidth="18900" windowHeight="19620" xr2:uid="{1057CE59-2C47-C04B-A5FD-E66389C09A84}"/>
  </bookViews>
  <sheets>
    <sheet name="Sp 2013 #19" sheetId="15" r:id="rId1"/>
    <sheet name="Sp 2014 #16" sheetId="21" r:id="rId2"/>
    <sheet name="F 2013 #16" sheetId="16" r:id="rId3"/>
    <sheet name="F 2014 #17" sheetId="17" r:id="rId4"/>
    <sheet name="Sp 2015 #21" sheetId="13" r:id="rId5"/>
    <sheet name="F 2015 #20" sheetId="12" r:id="rId6"/>
    <sheet name="Sp 2016 #19" sheetId="14" r:id="rId7"/>
    <sheet name="F 2016 #20" sheetId="10" r:id="rId8"/>
    <sheet name="F 2016 #22" sheetId="11" r:id="rId9"/>
    <sheet name="Sp 2017 #16" sheetId="9" r:id="rId10"/>
    <sheet name="Sp 2017 #17" sheetId="8" r:id="rId11"/>
    <sheet name="F 2017 #18" sheetId="7" r:id="rId12"/>
    <sheet name="F 2017 #20" sheetId="6" r:id="rId13"/>
    <sheet name="F 2017 #23" sheetId="5" r:id="rId14"/>
    <sheet name="Sp 2018 #18" sheetId="4" r:id="rId15"/>
    <sheet name="Sp 2018M #17" sheetId="3" r:id="rId16"/>
    <sheet name="F 2018 #17" sheetId="2" r:id="rId17"/>
    <sheet name="Sp 2019 #15" sheetId="18" r:id="rId18"/>
    <sheet name="Sp 2019 #20" sheetId="19" r:id="rId19"/>
    <sheet name="F 2019 #20" sheetId="2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1" l="1"/>
  <c r="O12" i="21"/>
  <c r="P12" i="21"/>
  <c r="Q12" i="21"/>
  <c r="R12" i="21"/>
  <c r="N13" i="21"/>
  <c r="O13" i="21"/>
  <c r="P13" i="21"/>
  <c r="R13" i="21" s="1"/>
  <c r="Q13" i="21"/>
  <c r="R17" i="21"/>
  <c r="N43" i="21"/>
  <c r="R43" i="21" s="1"/>
  <c r="R46" i="21" s="1"/>
  <c r="R49" i="21" s="1"/>
  <c r="R51" i="21" s="1"/>
  <c r="O43" i="21"/>
  <c r="P43" i="21"/>
  <c r="Q43" i="21"/>
  <c r="N44" i="21"/>
  <c r="O44" i="21"/>
  <c r="P44" i="21"/>
  <c r="Q44" i="21"/>
  <c r="R44" i="21"/>
  <c r="R48" i="21"/>
  <c r="L7" i="20"/>
  <c r="M7" i="20"/>
  <c r="N7" i="20"/>
  <c r="O7" i="20"/>
  <c r="O13" i="20" s="1"/>
  <c r="P7" i="20"/>
  <c r="P13" i="20" s="1"/>
  <c r="L8" i="20"/>
  <c r="L26" i="20" s="1"/>
  <c r="M8" i="20"/>
  <c r="N8" i="20"/>
  <c r="O8" i="20"/>
  <c r="L9" i="20"/>
  <c r="M9" i="20"/>
  <c r="N9" i="20"/>
  <c r="L10" i="20"/>
  <c r="L28" i="20" s="1"/>
  <c r="M10" i="20"/>
  <c r="M13" i="20"/>
  <c r="N21" i="20" s="1"/>
  <c r="N13" i="20"/>
  <c r="L18" i="20"/>
  <c r="M18" i="20"/>
  <c r="N18" i="20"/>
  <c r="O18" i="20"/>
  <c r="P18" i="20"/>
  <c r="P25" i="20" s="1"/>
  <c r="P31" i="20" s="1"/>
  <c r="L19" i="20"/>
  <c r="M19" i="20"/>
  <c r="N19" i="20"/>
  <c r="O19" i="20"/>
  <c r="L20" i="20"/>
  <c r="M20" i="20"/>
  <c r="N20" i="20"/>
  <c r="L21" i="20"/>
  <c r="M21" i="20"/>
  <c r="L25" i="20"/>
  <c r="M25" i="20"/>
  <c r="N25" i="20"/>
  <c r="N31" i="20" s="1"/>
  <c r="O25" i="20"/>
  <c r="O31" i="20" s="1"/>
  <c r="M26" i="20"/>
  <c r="N26" i="20"/>
  <c r="O26" i="20"/>
  <c r="L27" i="20"/>
  <c r="M27" i="20"/>
  <c r="N27" i="20"/>
  <c r="M35" i="20"/>
  <c r="N7" i="19"/>
  <c r="O7" i="19"/>
  <c r="P7" i="19"/>
  <c r="M8" i="19"/>
  <c r="O8" i="19"/>
  <c r="P8" i="19"/>
  <c r="M9" i="19"/>
  <c r="O9" i="19"/>
  <c r="O15" i="19" s="1"/>
  <c r="M10" i="19"/>
  <c r="N13" i="19"/>
  <c r="O13" i="19"/>
  <c r="P13" i="19"/>
  <c r="M14" i="19"/>
  <c r="O14" i="19"/>
  <c r="P14" i="19"/>
  <c r="M15" i="19"/>
  <c r="M16" i="19"/>
  <c r="O19" i="19"/>
  <c r="N8" i="18"/>
  <c r="O8" i="18"/>
  <c r="P8" i="18"/>
  <c r="P9" i="18"/>
  <c r="O9" i="18" s="1"/>
  <c r="N9" i="18" s="1"/>
  <c r="P11" i="18" s="1"/>
  <c r="M18" i="18"/>
  <c r="M25" i="18" s="1"/>
  <c r="N18" i="18"/>
  <c r="N25" i="18" s="1"/>
  <c r="O18" i="18"/>
  <c r="P18" i="18"/>
  <c r="Q18" i="18"/>
  <c r="P25" i="18" s="1"/>
  <c r="P30" i="18" s="1"/>
  <c r="P31" i="18" s="1"/>
  <c r="M19" i="18"/>
  <c r="M26" i="18" s="1"/>
  <c r="N19" i="18"/>
  <c r="O19" i="18"/>
  <c r="N26" i="18" s="1"/>
  <c r="P19" i="18"/>
  <c r="O26" i="18" s="1"/>
  <c r="O30" i="18" s="1"/>
  <c r="O31" i="18" s="1"/>
  <c r="M20" i="18"/>
  <c r="N20" i="18"/>
  <c r="O20" i="18"/>
  <c r="M21" i="18"/>
  <c r="N21" i="18"/>
  <c r="O25" i="18"/>
  <c r="M27" i="18"/>
  <c r="N27" i="18"/>
  <c r="R15" i="21" l="1"/>
  <c r="R18" i="21" s="1"/>
  <c r="R20" i="21" s="1"/>
  <c r="Q21" i="20"/>
  <c r="P35" i="20"/>
  <c r="O35" i="20"/>
  <c r="N35" i="20"/>
  <c r="M28" i="20"/>
  <c r="O21" i="20"/>
  <c r="P21" i="20"/>
  <c r="N30" i="18"/>
  <c r="O20" i="19"/>
  <c r="O21" i="19" s="1"/>
  <c r="N31" i="18"/>
  <c r="P33" i="18" s="1"/>
  <c r="O38" i="18"/>
  <c r="O39" i="18" s="1"/>
  <c r="M11" i="17"/>
  <c r="N11" i="17"/>
  <c r="O11" i="17"/>
  <c r="P11" i="17"/>
  <c r="Q11" i="17"/>
  <c r="Q17" i="17" s="1"/>
  <c r="M12" i="17"/>
  <c r="M37" i="17" s="1"/>
  <c r="N12" i="17"/>
  <c r="O12" i="17"/>
  <c r="P12" i="17"/>
  <c r="M13" i="17"/>
  <c r="N13" i="17"/>
  <c r="O13" i="17"/>
  <c r="O17" i="17" s="1"/>
  <c r="M14" i="17"/>
  <c r="M32" i="17" s="1"/>
  <c r="N14" i="17"/>
  <c r="N17" i="17" s="1"/>
  <c r="P17" i="17"/>
  <c r="N23" i="17"/>
  <c r="N50" i="17" s="1"/>
  <c r="M29" i="17"/>
  <c r="N29" i="17"/>
  <c r="O29" i="17"/>
  <c r="P29" i="17"/>
  <c r="P36" i="17" s="1"/>
  <c r="Q29" i="17"/>
  <c r="Q36" i="17" s="1"/>
  <c r="Q45" i="17" s="1"/>
  <c r="S29" i="17"/>
  <c r="T29" i="17"/>
  <c r="N30" i="17"/>
  <c r="O30" i="17"/>
  <c r="P30" i="17"/>
  <c r="U29" i="17" s="1"/>
  <c r="S30" i="17"/>
  <c r="T30" i="17"/>
  <c r="M31" i="17"/>
  <c r="N31" i="17"/>
  <c r="O31" i="17"/>
  <c r="O38" i="17" s="1"/>
  <c r="N32" i="17"/>
  <c r="S31" i="17" s="1"/>
  <c r="M36" i="17"/>
  <c r="N36" i="17" s="1"/>
  <c r="M38" i="17"/>
  <c r="N38" i="17"/>
  <c r="N45" i="17"/>
  <c r="N37" i="20" l="1"/>
  <c r="Q23" i="17"/>
  <c r="Q50" i="17" s="1"/>
  <c r="O23" i="17"/>
  <c r="P23" i="17"/>
  <c r="N37" i="17"/>
  <c r="O37" i="17"/>
  <c r="O45" i="17" s="1"/>
  <c r="P37" i="17"/>
  <c r="P45" i="17"/>
  <c r="M39" i="17"/>
  <c r="N39" i="17" s="1"/>
  <c r="M30" i="17"/>
  <c r="M50" i="17"/>
  <c r="O36" i="17"/>
  <c r="M23" i="17"/>
  <c r="M45" i="17"/>
  <c r="M7" i="16"/>
  <c r="N7" i="16"/>
  <c r="O7" i="16"/>
  <c r="M8" i="16"/>
  <c r="N8" i="16"/>
  <c r="N11" i="16"/>
  <c r="O11" i="16"/>
  <c r="O12" i="16" s="1"/>
  <c r="O38" i="16" s="1"/>
  <c r="P12" i="16"/>
  <c r="M19" i="16"/>
  <c r="N19" i="16"/>
  <c r="O19" i="16"/>
  <c r="P19" i="16"/>
  <c r="P37" i="16" s="1"/>
  <c r="Q37" i="16" s="1"/>
  <c r="R37" i="16" s="1"/>
  <c r="M20" i="16"/>
  <c r="N20" i="16"/>
  <c r="N26" i="16" s="1"/>
  <c r="O20" i="16"/>
  <c r="M21" i="16"/>
  <c r="N21" i="16"/>
  <c r="M25" i="16"/>
  <c r="N25" i="16"/>
  <c r="M26" i="16"/>
  <c r="P30" i="16"/>
  <c r="M37" i="16"/>
  <c r="N37" i="16"/>
  <c r="O37" i="16"/>
  <c r="M38" i="16"/>
  <c r="N38" i="16"/>
  <c r="P38" i="16"/>
  <c r="M39" i="16"/>
  <c r="N39" i="16"/>
  <c r="P39" i="16"/>
  <c r="M11" i="15"/>
  <c r="N11" i="15"/>
  <c r="Q11" i="15" s="1"/>
  <c r="Q16" i="15" s="1"/>
  <c r="O11" i="15"/>
  <c r="P11" i="15"/>
  <c r="M12" i="15"/>
  <c r="N12" i="15"/>
  <c r="O12" i="15"/>
  <c r="P12" i="15" s="1"/>
  <c r="M16" i="15"/>
  <c r="N16" i="15"/>
  <c r="O16" i="15"/>
  <c r="P16" i="15"/>
  <c r="M17" i="15"/>
  <c r="N17" i="15"/>
  <c r="M27" i="15"/>
  <c r="N27" i="15"/>
  <c r="P27" i="15" s="1"/>
  <c r="O27" i="15"/>
  <c r="M28" i="15"/>
  <c r="N28" i="15"/>
  <c r="N39" i="15"/>
  <c r="O50" i="17" l="1"/>
  <c r="P50" i="17"/>
  <c r="O40" i="16"/>
  <c r="N12" i="16"/>
  <c r="O39" i="16" s="1"/>
  <c r="S37" i="16"/>
  <c r="N29" i="16"/>
  <c r="O25" i="16"/>
  <c r="O29" i="16" s="1"/>
  <c r="O30" i="16" s="1"/>
  <c r="Q38" i="16" s="1"/>
  <c r="R38" i="16" s="1"/>
  <c r="Q12" i="15"/>
  <c r="O28" i="15"/>
  <c r="P28" i="15" s="1"/>
  <c r="P30" i="15" s="1"/>
  <c r="N41" i="15" s="1"/>
  <c r="O17" i="15"/>
  <c r="P17" i="15" s="1"/>
  <c r="R50" i="17" l="1"/>
  <c r="S38" i="16"/>
  <c r="S40" i="16" s="1"/>
  <c r="N30" i="16"/>
  <c r="Q39" i="16" s="1"/>
  <c r="R39" i="16" s="1"/>
  <c r="S39" i="16" s="1"/>
  <c r="Q17" i="15"/>
  <c r="Q19" i="15" s="1"/>
  <c r="N40" i="15" s="1"/>
  <c r="N43" i="15" s="1"/>
  <c r="R40" i="16" l="1"/>
  <c r="R36" i="4" l="1"/>
  <c r="R35" i="4"/>
  <c r="R34" i="4"/>
  <c r="M7" i="13"/>
  <c r="N7" i="13"/>
  <c r="O7" i="13"/>
  <c r="P7" i="13"/>
  <c r="P12" i="13" s="1"/>
  <c r="M8" i="13"/>
  <c r="M30" i="13" s="1"/>
  <c r="N8" i="13"/>
  <c r="O8" i="13"/>
  <c r="M9" i="13"/>
  <c r="M31" i="13" s="1"/>
  <c r="N9" i="13"/>
  <c r="M17" i="13"/>
  <c r="N17" i="13"/>
  <c r="O17" i="13"/>
  <c r="P17" i="13"/>
  <c r="N18" i="13"/>
  <c r="O18" i="13"/>
  <c r="N19" i="13"/>
  <c r="M23" i="13"/>
  <c r="N24" i="13"/>
  <c r="N25" i="13"/>
  <c r="M29" i="13"/>
  <c r="M41" i="13"/>
  <c r="N42" i="13"/>
  <c r="N49" i="13" s="1"/>
  <c r="N43" i="13"/>
  <c r="M48" i="13"/>
  <c r="P9" i="11"/>
  <c r="Q9" i="11"/>
  <c r="R9" i="11"/>
  <c r="S9" i="11"/>
  <c r="T9" i="11"/>
  <c r="P10" i="11"/>
  <c r="Q10" i="11"/>
  <c r="R10" i="11"/>
  <c r="S10" i="11"/>
  <c r="P11" i="11"/>
  <c r="Q11" i="11"/>
  <c r="R11" i="11"/>
  <c r="P12" i="11"/>
  <c r="Q12" i="11"/>
  <c r="P25" i="11"/>
  <c r="P44" i="11" s="1"/>
  <c r="Q25" i="11"/>
  <c r="R25" i="11"/>
  <c r="S25" i="11"/>
  <c r="P26" i="11"/>
  <c r="P45" i="11" s="1"/>
  <c r="Q26" i="11"/>
  <c r="R26" i="11"/>
  <c r="P27" i="11"/>
  <c r="P46" i="11" s="1"/>
  <c r="Q27" i="11"/>
  <c r="S30" i="11"/>
  <c r="T30" i="11"/>
  <c r="T31" i="11"/>
  <c r="P36" i="11"/>
  <c r="Q36" i="11"/>
  <c r="Q44" i="11" s="1"/>
  <c r="R36" i="11"/>
  <c r="S36" i="11"/>
  <c r="S44" i="11" s="1"/>
  <c r="S49" i="11" s="1"/>
  <c r="T36" i="11"/>
  <c r="P37" i="11"/>
  <c r="Q37" i="11"/>
  <c r="R37" i="11"/>
  <c r="Q45" i="11" s="1"/>
  <c r="S37" i="11"/>
  <c r="P38" i="11"/>
  <c r="P57" i="11" s="1"/>
  <c r="Q38" i="11"/>
  <c r="R38" i="11"/>
  <c r="P39" i="11"/>
  <c r="Q39" i="11"/>
  <c r="T58" i="11" s="1"/>
  <c r="R44" i="11"/>
  <c r="Q46" i="11"/>
  <c r="T49" i="11"/>
  <c r="T50" i="11" s="1"/>
  <c r="Q57" i="11"/>
  <c r="T57" i="11"/>
  <c r="P58" i="11"/>
  <c r="Q58" i="11"/>
  <c r="M9" i="9"/>
  <c r="O9" i="9" s="1"/>
  <c r="P9" i="9" s="1"/>
  <c r="Q9" i="9" s="1"/>
  <c r="S9" i="9" s="1"/>
  <c r="N9" i="9"/>
  <c r="R9" i="9"/>
  <c r="M10" i="9"/>
  <c r="O10" i="9" s="1"/>
  <c r="P10" i="9" s="1"/>
  <c r="N10" i="9"/>
  <c r="R10" i="9"/>
  <c r="M11" i="9"/>
  <c r="O11" i="9" s="1"/>
  <c r="P11" i="9" s="1"/>
  <c r="N11" i="9"/>
  <c r="R11" i="9"/>
  <c r="O23" i="9"/>
  <c r="O30" i="9" s="1"/>
  <c r="O28" i="9"/>
  <c r="M7" i="8"/>
  <c r="N7" i="8"/>
  <c r="O7" i="8"/>
  <c r="M8" i="8"/>
  <c r="M26" i="8" s="1"/>
  <c r="N8" i="8"/>
  <c r="N11" i="8"/>
  <c r="O11" i="8"/>
  <c r="P12" i="8"/>
  <c r="M19" i="8"/>
  <c r="N19" i="8"/>
  <c r="O19" i="8"/>
  <c r="P19" i="8"/>
  <c r="O25" i="8" s="1"/>
  <c r="O29" i="8" s="1"/>
  <c r="O30" i="8" s="1"/>
  <c r="M20" i="8"/>
  <c r="N20" i="8"/>
  <c r="N26" i="8" s="1"/>
  <c r="O20" i="8"/>
  <c r="M21" i="8"/>
  <c r="N21" i="8"/>
  <c r="M25" i="8"/>
  <c r="P30" i="8"/>
  <c r="L9" i="7"/>
  <c r="L22" i="7" s="1"/>
  <c r="M9" i="7"/>
  <c r="N9" i="7"/>
  <c r="O9" i="7"/>
  <c r="P9" i="7"/>
  <c r="P16" i="7" s="1"/>
  <c r="Q9" i="7"/>
  <c r="Q16" i="7" s="1"/>
  <c r="L10" i="7"/>
  <c r="L23" i="7" s="1"/>
  <c r="M10" i="7"/>
  <c r="N10" i="7"/>
  <c r="O10" i="7"/>
  <c r="P10" i="7"/>
  <c r="L11" i="7"/>
  <c r="L24" i="7" s="1"/>
  <c r="M11" i="7"/>
  <c r="N11" i="7"/>
  <c r="O11" i="7"/>
  <c r="L12" i="7"/>
  <c r="L25" i="7" s="1"/>
  <c r="M12" i="7"/>
  <c r="M16" i="7" s="1"/>
  <c r="N12" i="7"/>
  <c r="L13" i="7"/>
  <c r="L26" i="7" s="1"/>
  <c r="M13" i="7"/>
  <c r="R17" i="7"/>
  <c r="M22" i="7"/>
  <c r="N22" i="7"/>
  <c r="O22" i="7"/>
  <c r="O29" i="7" s="1"/>
  <c r="O31" i="7" s="1"/>
  <c r="P22" i="7"/>
  <c r="Q22" i="7"/>
  <c r="M23" i="7"/>
  <c r="N23" i="7"/>
  <c r="O23" i="7"/>
  <c r="P23" i="7"/>
  <c r="M24" i="7"/>
  <c r="N24" i="7"/>
  <c r="O24" i="7"/>
  <c r="M25" i="7"/>
  <c r="N25" i="7"/>
  <c r="M26" i="7"/>
  <c r="M29" i="7"/>
  <c r="P29" i="7"/>
  <c r="P31" i="7" s="1"/>
  <c r="Q29" i="7"/>
  <c r="Q30" i="7" s="1"/>
  <c r="R30" i="7"/>
  <c r="R32" i="7"/>
  <c r="L44" i="7"/>
  <c r="M44" i="7"/>
  <c r="P44" i="7"/>
  <c r="L45" i="7"/>
  <c r="M45" i="7"/>
  <c r="P45" i="7"/>
  <c r="M8" i="6"/>
  <c r="O8" i="6" s="1"/>
  <c r="P8" i="6" s="1"/>
  <c r="Q8" i="6" s="1"/>
  <c r="N8" i="6"/>
  <c r="M9" i="6"/>
  <c r="O9" i="6" s="1"/>
  <c r="P9" i="6" s="1"/>
  <c r="Q9" i="6" s="1"/>
  <c r="N9" i="6"/>
  <c r="M10" i="6"/>
  <c r="O10" i="6" s="1"/>
  <c r="P10" i="6" s="1"/>
  <c r="N10" i="6"/>
  <c r="M14" i="6"/>
  <c r="O14" i="6" s="1"/>
  <c r="P14" i="6" s="1"/>
  <c r="Q14" i="6" s="1"/>
  <c r="N14" i="6"/>
  <c r="N15" i="6"/>
  <c r="N16" i="6"/>
  <c r="M29" i="6"/>
  <c r="O29" i="6" s="1"/>
  <c r="P29" i="6" s="1"/>
  <c r="N29" i="6"/>
  <c r="M30" i="6"/>
  <c r="O30" i="6" s="1"/>
  <c r="P30" i="6" s="1"/>
  <c r="Q30" i="6" s="1"/>
  <c r="N30" i="6"/>
  <c r="O41" i="6"/>
  <c r="O46" i="6"/>
  <c r="N10" i="5"/>
  <c r="O10" i="5"/>
  <c r="O17" i="5" s="1"/>
  <c r="P10" i="5"/>
  <c r="P17" i="5" s="1"/>
  <c r="Q10" i="5"/>
  <c r="M11" i="5"/>
  <c r="N11" i="5"/>
  <c r="N18" i="5" s="1"/>
  <c r="O11" i="5"/>
  <c r="P11" i="5"/>
  <c r="Q11" i="5"/>
  <c r="M12" i="5"/>
  <c r="M19" i="5" s="1"/>
  <c r="O19" i="5" s="1"/>
  <c r="N12" i="5"/>
  <c r="N19" i="5" s="1"/>
  <c r="O12" i="5"/>
  <c r="P12" i="5"/>
  <c r="M13" i="5"/>
  <c r="N13" i="5"/>
  <c r="N20" i="5" s="1"/>
  <c r="O13" i="5"/>
  <c r="M14" i="5"/>
  <c r="M21" i="5" s="1"/>
  <c r="N21" i="5" s="1"/>
  <c r="N14" i="5"/>
  <c r="N17" i="5"/>
  <c r="Q17" i="5"/>
  <c r="M18" i="5"/>
  <c r="Q18" i="5" s="1"/>
  <c r="R25" i="5" s="1"/>
  <c r="R26" i="5" s="1"/>
  <c r="M20" i="5"/>
  <c r="O24" i="5"/>
  <c r="P24" i="5"/>
  <c r="Q24" i="5"/>
  <c r="R24" i="5"/>
  <c r="Q8" i="4"/>
  <c r="R8" i="4"/>
  <c r="S8" i="4"/>
  <c r="S9" i="4" s="1"/>
  <c r="T9" i="4"/>
  <c r="P14" i="4"/>
  <c r="P22" i="4" s="1"/>
  <c r="P34" i="4" s="1"/>
  <c r="Q14" i="4"/>
  <c r="R14" i="4"/>
  <c r="Q22" i="4" s="1"/>
  <c r="S14" i="4"/>
  <c r="R22" i="4" s="1"/>
  <c r="T14" i="4"/>
  <c r="P15" i="4"/>
  <c r="Q15" i="4"/>
  <c r="R15" i="4"/>
  <c r="Q23" i="4" s="1"/>
  <c r="S15" i="4"/>
  <c r="Q35" i="4" s="1"/>
  <c r="P16" i="4"/>
  <c r="P24" i="4" s="1"/>
  <c r="P36" i="4" s="1"/>
  <c r="Q16" i="4"/>
  <c r="R16" i="4"/>
  <c r="Q24" i="4" s="1"/>
  <c r="P17" i="4"/>
  <c r="P23" i="4"/>
  <c r="P35" i="4" s="1"/>
  <c r="R23" i="4"/>
  <c r="T28" i="4"/>
  <c r="Q34" i="4"/>
  <c r="T34" i="4"/>
  <c r="U34" i="4"/>
  <c r="T35" i="4"/>
  <c r="U35" i="4"/>
  <c r="T36" i="4"/>
  <c r="U36" i="4"/>
  <c r="P9" i="3"/>
  <c r="Q9" i="3"/>
  <c r="R9" i="3"/>
  <c r="R15" i="3" s="1"/>
  <c r="S9" i="3"/>
  <c r="T9" i="3"/>
  <c r="T15" i="3" s="1"/>
  <c r="P10" i="3"/>
  <c r="P28" i="3" s="1"/>
  <c r="Q10" i="3"/>
  <c r="R10" i="3"/>
  <c r="S10" i="3"/>
  <c r="P11" i="3"/>
  <c r="Q11" i="3"/>
  <c r="R11" i="3"/>
  <c r="P12" i="3"/>
  <c r="P21" i="3" s="1"/>
  <c r="Q12" i="3"/>
  <c r="Q15" i="3"/>
  <c r="R21" i="3" s="1"/>
  <c r="Q21" i="3"/>
  <c r="P27" i="3"/>
  <c r="Q27" i="3" s="1"/>
  <c r="P29" i="3"/>
  <c r="Q29" i="3" s="1"/>
  <c r="R29" i="3"/>
  <c r="Q39" i="3"/>
  <c r="P44" i="3"/>
  <c r="Q44" i="3"/>
  <c r="M8" i="2"/>
  <c r="O8" i="2" s="1"/>
  <c r="P8" i="2" s="1"/>
  <c r="Q8" i="2" s="1"/>
  <c r="Q14" i="2" s="1"/>
  <c r="N8" i="2"/>
  <c r="M9" i="2"/>
  <c r="N9" i="2"/>
  <c r="O9" i="2"/>
  <c r="P9" i="2" s="1"/>
  <c r="N14" i="2"/>
  <c r="O14" i="2"/>
  <c r="P14" i="2"/>
  <c r="M15" i="2"/>
  <c r="N15" i="2"/>
  <c r="O15" i="2"/>
  <c r="P15" i="2"/>
  <c r="M26" i="2"/>
  <c r="O26" i="2" s="1"/>
  <c r="P26" i="2" s="1"/>
  <c r="N26" i="2"/>
  <c r="Q26" i="2"/>
  <c r="M27" i="2"/>
  <c r="O27" i="2" s="1"/>
  <c r="P27" i="2" s="1"/>
  <c r="N27" i="2"/>
  <c r="Q27" i="2"/>
  <c r="M36" i="2"/>
  <c r="N36" i="2"/>
  <c r="M37" i="2"/>
  <c r="N37" i="2"/>
  <c r="P19" i="5" l="1"/>
  <c r="M16" i="6"/>
  <c r="O16" i="6" s="1"/>
  <c r="P16" i="6" s="1"/>
  <c r="N29" i="7"/>
  <c r="N31" i="7" s="1"/>
  <c r="Q11" i="9"/>
  <c r="S11" i="9" s="1"/>
  <c r="R45" i="11"/>
  <c r="O18" i="5"/>
  <c r="O25" i="5" s="1"/>
  <c r="O26" i="5" s="1"/>
  <c r="R49" i="11"/>
  <c r="R50" i="11" s="1"/>
  <c r="Q49" i="11"/>
  <c r="S31" i="11"/>
  <c r="N12" i="13"/>
  <c r="M19" i="13"/>
  <c r="R9" i="4"/>
  <c r="R27" i="2"/>
  <c r="S15" i="3"/>
  <c r="T21" i="3" s="1"/>
  <c r="Q9" i="4"/>
  <c r="R44" i="4" s="1"/>
  <c r="M31" i="7"/>
  <c r="Q17" i="7"/>
  <c r="N25" i="8"/>
  <c r="N29" i="8" s="1"/>
  <c r="P48" i="13"/>
  <c r="M14" i="2"/>
  <c r="Q30" i="11"/>
  <c r="Q29" i="6"/>
  <c r="Q32" i="6" s="1"/>
  <c r="O43" i="6" s="1"/>
  <c r="O16" i="7"/>
  <c r="Q10" i="9"/>
  <c r="S10" i="9" s="1"/>
  <c r="P23" i="13"/>
  <c r="P41" i="13" s="1"/>
  <c r="Q17" i="13"/>
  <c r="O12" i="13"/>
  <c r="P18" i="13" s="1"/>
  <c r="R27" i="4"/>
  <c r="R26" i="2"/>
  <c r="R29" i="2" s="1"/>
  <c r="N16" i="7"/>
  <c r="S50" i="11"/>
  <c r="O20" i="5"/>
  <c r="P18" i="5"/>
  <c r="Q25" i="5" s="1"/>
  <c r="Q26" i="5" s="1"/>
  <c r="Q10" i="6"/>
  <c r="O12" i="8"/>
  <c r="N12" i="8" s="1"/>
  <c r="O35" i="8" s="1"/>
  <c r="R30" i="11"/>
  <c r="R31" i="11" s="1"/>
  <c r="R57" i="11" s="1"/>
  <c r="S57" i="11" s="1"/>
  <c r="M43" i="13"/>
  <c r="N31" i="13"/>
  <c r="N34" i="13" s="1"/>
  <c r="M24" i="13"/>
  <c r="M49" i="13"/>
  <c r="O23" i="13"/>
  <c r="O41" i="13" s="1"/>
  <c r="O48" i="13" s="1"/>
  <c r="N50" i="13"/>
  <c r="N23" i="13"/>
  <c r="N41" i="13" s="1"/>
  <c r="M50" i="13"/>
  <c r="N48" i="13"/>
  <c r="M25" i="13"/>
  <c r="M42" i="13"/>
  <c r="O24" i="13"/>
  <c r="M18" i="13"/>
  <c r="S13" i="9"/>
  <c r="S14" i="9" s="1"/>
  <c r="O29" i="9" s="1"/>
  <c r="O31" i="9" s="1"/>
  <c r="O33" i="9" s="1"/>
  <c r="N30" i="8"/>
  <c r="O36" i="8" s="1"/>
  <c r="O37" i="8" s="1"/>
  <c r="P17" i="7"/>
  <c r="O17" i="7"/>
  <c r="N17" i="7" s="1"/>
  <c r="P30" i="7"/>
  <c r="Q31" i="7"/>
  <c r="Q32" i="7" s="1"/>
  <c r="P32" i="7" s="1"/>
  <c r="O32" i="7" s="1"/>
  <c r="O30" i="7"/>
  <c r="N30" i="7" s="1"/>
  <c r="Q16" i="6"/>
  <c r="R16" i="6" s="1"/>
  <c r="R18" i="6" s="1"/>
  <c r="O42" i="6" s="1"/>
  <c r="R14" i="6"/>
  <c r="M15" i="6"/>
  <c r="O15" i="6" s="1"/>
  <c r="P15" i="6" s="1"/>
  <c r="Q15" i="6" s="1"/>
  <c r="R15" i="6" s="1"/>
  <c r="P25" i="5"/>
  <c r="P26" i="5" s="1"/>
  <c r="Q27" i="4"/>
  <c r="Q36" i="4"/>
  <c r="S22" i="4"/>
  <c r="S27" i="4" s="1"/>
  <c r="S28" i="4" s="1"/>
  <c r="V34" i="4" s="1"/>
  <c r="Q28" i="3"/>
  <c r="R28" i="3"/>
  <c r="S28" i="3"/>
  <c r="S21" i="3"/>
  <c r="P30" i="3"/>
  <c r="Q30" i="3" s="1"/>
  <c r="Q33" i="3" s="1"/>
  <c r="T27" i="3"/>
  <c r="T33" i="3" s="1"/>
  <c r="T39" i="3" s="1"/>
  <c r="S27" i="3"/>
  <c r="P39" i="3"/>
  <c r="R27" i="3"/>
  <c r="Q9" i="2"/>
  <c r="Q15" i="2" s="1"/>
  <c r="Q17" i="2"/>
  <c r="U57" i="11" l="1"/>
  <c r="V57" i="11" s="1"/>
  <c r="W57" i="11" s="1"/>
  <c r="Q50" i="11"/>
  <c r="U58" i="11" s="1"/>
  <c r="V58" i="11" s="1"/>
  <c r="Q31" i="11"/>
  <c r="R58" i="11" s="1"/>
  <c r="S58" i="11" s="1"/>
  <c r="S59" i="11" s="1"/>
  <c r="O44" i="6"/>
  <c r="O47" i="6" s="1"/>
  <c r="R33" i="3"/>
  <c r="R39" i="3" s="1"/>
  <c r="R44" i="3" s="1"/>
  <c r="Q48" i="13"/>
  <c r="P19" i="13"/>
  <c r="P50" i="13" s="1"/>
  <c r="O19" i="13"/>
  <c r="Q19" i="13" s="1"/>
  <c r="P29" i="13"/>
  <c r="P34" i="13" s="1"/>
  <c r="P43" i="13" s="1"/>
  <c r="P42" i="13" s="1"/>
  <c r="Q18" i="13"/>
  <c r="P49" i="13"/>
  <c r="O42" i="13"/>
  <c r="O49" i="13" s="1"/>
  <c r="O30" i="13"/>
  <c r="O34" i="13" s="1"/>
  <c r="O43" i="13" s="1"/>
  <c r="Q44" i="7"/>
  <c r="R44" i="7" s="1"/>
  <c r="M30" i="7"/>
  <c r="N44" i="7"/>
  <c r="O44" i="7" s="1"/>
  <c r="M17" i="7"/>
  <c r="N45" i="7" s="1"/>
  <c r="O45" i="7" s="1"/>
  <c r="N32" i="7"/>
  <c r="M32" i="7" s="1"/>
  <c r="Q45" i="7" s="1"/>
  <c r="R45" i="7" s="1"/>
  <c r="R28" i="4"/>
  <c r="V35" i="4" s="1"/>
  <c r="T44" i="3"/>
  <c r="S33" i="3"/>
  <c r="S39" i="3" s="1"/>
  <c r="S44" i="3" s="1"/>
  <c r="U44" i="3" s="1"/>
  <c r="R30" i="2"/>
  <c r="P36" i="2" s="1"/>
  <c r="P37" i="2"/>
  <c r="O37" i="2"/>
  <c r="Q18" i="2"/>
  <c r="O36" i="2" s="1"/>
  <c r="Q36" i="2" s="1"/>
  <c r="S45" i="7" l="1"/>
  <c r="Q37" i="2"/>
  <c r="Q38" i="2" s="1"/>
  <c r="O50" i="13"/>
  <c r="Q50" i="13" s="1"/>
  <c r="W58" i="11"/>
  <c r="W59" i="11" s="1"/>
  <c r="Q49" i="13"/>
  <c r="O46" i="7"/>
  <c r="S44" i="7"/>
  <c r="S46" i="7" s="1"/>
  <c r="Q28" i="4"/>
  <c r="V36" i="4" s="1"/>
  <c r="V38" i="4" s="1"/>
  <c r="R45" i="4" s="1"/>
  <c r="R46" i="4" s="1"/>
</calcChain>
</file>

<file path=xl/sharedStrings.xml><?xml version="1.0" encoding="utf-8"?>
<sst xmlns="http://schemas.openxmlformats.org/spreadsheetml/2006/main" count="1281" uniqueCount="501">
  <si>
    <t>Reserving - Frequency-Severity Technique #2 (Incorporating Exposures and Inflation)</t>
  </si>
  <si>
    <t>Recipe</t>
  </si>
  <si>
    <r>
      <t xml:space="preserve">Based on the information given, you were expected to use the approach that incorporates trend and exposure/earned premium information. 
</t>
    </r>
    <r>
      <rPr>
        <b/>
        <sz val="12"/>
        <color theme="1"/>
        <rFont val="Calibri"/>
        <family val="2"/>
        <scheme val="minor"/>
      </rPr>
      <t>Frequency</t>
    </r>
    <r>
      <rPr>
        <sz val="12"/>
        <color theme="1"/>
        <rFont val="Calibri"/>
        <family val="2"/>
      </rPr>
      <t xml:space="preserve"> - Make sure to on-level earned premium and trend ultimate claim counts to 2017 levels  so that you can select an appropriate frequency. Then detrend and back out the on level factor to calculate an appropriate frequency for the prior year.
</t>
    </r>
    <r>
      <rPr>
        <b/>
        <sz val="12"/>
        <color theme="1"/>
        <rFont val="Calibri"/>
        <family val="2"/>
        <scheme val="minor"/>
      </rPr>
      <t>Severity</t>
    </r>
    <r>
      <rPr>
        <sz val="12"/>
        <color theme="1"/>
        <rFont val="Calibri"/>
        <family val="2"/>
      </rPr>
      <t xml:space="preserve"> - Ultimate severity needs to be trended and adjusted to the latest year's cost levels. Then detrend to calculate an appropriate severity for the prior year.</t>
    </r>
  </si>
  <si>
    <t>Discussion</t>
  </si>
  <si>
    <t>• Stable case reserve adequacy</t>
  </si>
  <si>
    <t>• Stable settlement pattern</t>
  </si>
  <si>
    <t>• Consistent definition of exposures</t>
  </si>
  <si>
    <t>• Claim counts and severities develop similarly in the future</t>
  </si>
  <si>
    <t>• Claim counts are reasonably homogenous (consistent mix of claims)</t>
  </si>
  <si>
    <t>• Claim counts used are defined in a consistent manner over the experience period</t>
  </si>
  <si>
    <t>Any two of the following:</t>
  </si>
  <si>
    <t>Part b.</t>
  </si>
  <si>
    <t>Total</t>
  </si>
  <si>
    <t>Claims ($000)</t>
  </si>
  <si>
    <t>Severity</t>
  </si>
  <si>
    <t>Frequency</t>
  </si>
  <si>
    <t>Prem ($000)</t>
  </si>
  <si>
    <t>Year</t>
  </si>
  <si>
    <t>Ultimate</t>
  </si>
  <si>
    <t>Selected Ult</t>
  </si>
  <si>
    <t>Earned</t>
  </si>
  <si>
    <t>Accident</t>
  </si>
  <si>
    <t>Ultimate Claims = Earned Prem x Ultimate Frequency x Ultimate Severity</t>
  </si>
  <si>
    <t xml:space="preserve">Est. 2016 Severity = </t>
  </si>
  <si>
    <t xml:space="preserve">Selected 2017 Severity = </t>
  </si>
  <si>
    <t>Change</t>
  </si>
  <si>
    <t>Factor</t>
  </si>
  <si>
    <t>to 2017</t>
  </si>
  <si>
    <t>Trended Ult</t>
  </si>
  <si>
    <t>Legislative</t>
  </si>
  <si>
    <t>Trend</t>
  </si>
  <si>
    <t>Trend Period</t>
  </si>
  <si>
    <t>SHOW ALL WORK.</t>
  </si>
  <si>
    <t>Estimate projected, ultimate severity for latest two accident years:</t>
  </si>
  <si>
    <t>Briefly describe two key assumptions of frequency-severity techniques.</t>
  </si>
  <si>
    <t>0.5 point</t>
  </si>
  <si>
    <t>b.</t>
  </si>
  <si>
    <t>technique.</t>
  </si>
  <si>
    <t>Estimate the ultimate claims for accident years 2016 and 2017 using an appropriate frequency-severity</t>
  </si>
  <si>
    <t>3 points</t>
  </si>
  <si>
    <t>a.</t>
  </si>
  <si>
    <t>% of 2021 Earned Prem ($000)</t>
  </si>
  <si>
    <t xml:space="preserve">Est. 2016 Frequency = </t>
  </si>
  <si>
    <t>% of Earned Prem (2017 levels)</t>
  </si>
  <si>
    <t xml:space="preserve">Selected 2017 Frequency = </t>
  </si>
  <si>
    <t xml:space="preserve"> January 1, 2017 due to legislative change</t>
  </si>
  <si>
    <t xml:space="preserve">Estimated savings on claims occurring after </t>
  </si>
  <si>
    <t>Annual severity trend</t>
  </si>
  <si>
    <t>Annual claim count trend</t>
  </si>
  <si>
    <t>Premium</t>
  </si>
  <si>
    <t>Adjustment</t>
  </si>
  <si>
    <t>On-Level</t>
  </si>
  <si>
    <t>Severity ($)</t>
  </si>
  <si>
    <t>Counts</t>
  </si>
  <si>
    <t>Claim</t>
  </si>
  <si>
    <t xml:space="preserve">Accident </t>
  </si>
  <si>
    <t xml:space="preserve">Ultimate </t>
  </si>
  <si>
    <t>($000)</t>
  </si>
  <si>
    <t>Ult Counts</t>
  </si>
  <si>
    <t>Claim Counts</t>
  </si>
  <si>
    <t>Calendar</t>
  </si>
  <si>
    <t>Trended</t>
  </si>
  <si>
    <t>Estimate projected, ultimate frequency for the latest two accident years:</t>
  </si>
  <si>
    <t>Given the following information as of December 31, 2017:</t>
  </si>
  <si>
    <t>Part a.</t>
  </si>
  <si>
    <t>Points:</t>
  </si>
  <si>
    <t>Solution -&gt;</t>
  </si>
  <si>
    <t>Q #17</t>
  </si>
  <si>
    <t>Exam 5</t>
  </si>
  <si>
    <t>Fall 2018</t>
  </si>
  <si>
    <t>Source:</t>
  </si>
  <si>
    <t>Reserving - Frequency-Severity Technique #3 (Disposal Rates)</t>
  </si>
  <si>
    <t>Claims</t>
  </si>
  <si>
    <t>Unpaid</t>
  </si>
  <si>
    <t>Projected Incremental Paid Claims</t>
  </si>
  <si>
    <t>Incremental Paid Severities Adjusted to Cost Level of Accident Year</t>
  </si>
  <si>
    <r>
      <rPr>
        <u/>
        <sz val="12"/>
        <color theme="1"/>
        <rFont val="Calibri"/>
        <family val="2"/>
      </rPr>
      <t>Justification</t>
    </r>
    <r>
      <rPr>
        <b/>
        <sz val="12"/>
        <color theme="1"/>
        <rFont val="Calibri"/>
        <family val="2"/>
      </rPr>
      <t xml:space="preserve">: </t>
    </r>
    <r>
      <rPr>
        <sz val="12"/>
        <color theme="1"/>
        <rFont val="Calibri"/>
        <family val="2"/>
      </rPr>
      <t>There are no clear trends, so I select the average.</t>
    </r>
  </si>
  <si>
    <t>Selected</t>
  </si>
  <si>
    <t>Trended Incremental Severities</t>
  </si>
  <si>
    <t>Estimate unpaid claims for accident year 2017 using a frequency-severity technique.</t>
  </si>
  <si>
    <t>Project Incremental Severities</t>
  </si>
  <si>
    <t>•    There is no development beyond 48 months.</t>
  </si>
  <si>
    <t>•    There are no partial payments.</t>
  </si>
  <si>
    <t>Claim severity trend</t>
  </si>
  <si>
    <t>Projected Incremental Closed Claim Counts</t>
  </si>
  <si>
    <r>
      <rPr>
        <u/>
        <sz val="12"/>
        <color theme="1"/>
        <rFont val="Calibri"/>
        <family val="2"/>
      </rPr>
      <t>Justification</t>
    </r>
    <r>
      <rPr>
        <b/>
        <sz val="12"/>
        <color theme="1"/>
        <rFont val="Calibri"/>
        <family val="2"/>
      </rPr>
      <t xml:space="preserve">: </t>
    </r>
    <r>
      <rPr>
        <sz val="12"/>
        <color theme="1"/>
        <rFont val="Calibri"/>
        <family val="2"/>
      </rPr>
      <t>For credibility, I selected the average.</t>
    </r>
  </si>
  <si>
    <t>Ultimate Claim Counts</t>
  </si>
  <si>
    <t>Accident Year</t>
  </si>
  <si>
    <t>Disposal Rate</t>
  </si>
  <si>
    <t>Incremental Paid Severities as of (months)</t>
  </si>
  <si>
    <t>Cumulative Closed Claim Counts as of (months)</t>
  </si>
  <si>
    <t>Project Incremental Claim Counts</t>
  </si>
  <si>
    <t>An insurer has the following data evaluated as of December 31, 2017:</t>
  </si>
  <si>
    <t>Because incremental severities and a selected trend is given, I will use the disposal rates technique. Approach #1 (Freq-Sev Development approach) could also be used.</t>
  </si>
  <si>
    <t>Spring 2018</t>
  </si>
  <si>
    <t>Reserving - Frequency-Severity Technique #1 (Development Approach)</t>
  </si>
  <si>
    <t>Make sure to calculate the age-to-age factors for reported severities. Don't use the age-to-age factors for reported claims. Make sure to project reported severities for AY 2014-2016 to 2017 levels and at ultimate. That means developing to ultimate, trending to 2017, and reflecting the tort reform change.</t>
  </si>
  <si>
    <t xml:space="preserve">Ultimate Claims = </t>
  </si>
  <si>
    <t xml:space="preserve">Ultimate Severity = </t>
  </si>
  <si>
    <t xml:space="preserve">Ultimate Claim Counts = </t>
  </si>
  <si>
    <t>For AY 2017:</t>
  </si>
  <si>
    <t>Ultimate Claims = Ultimate Claim Counts x Ultimate Severity</t>
  </si>
  <si>
    <t xml:space="preserve">Selected 2017 Ultimate Severity = </t>
  </si>
  <si>
    <t>Period</t>
  </si>
  <si>
    <t>CDF</t>
  </si>
  <si>
    <t>Proj. Ult</t>
  </si>
  <si>
    <t>Tort Reform</t>
  </si>
  <si>
    <t>Reported</t>
  </si>
  <si>
    <t>Project ultimate severities to AY 2017 levels and select an appropriate severity:</t>
  </si>
  <si>
    <t>LDF</t>
  </si>
  <si>
    <t>To Ult</t>
  </si>
  <si>
    <t>36-48</t>
  </si>
  <si>
    <t>24-36</t>
  </si>
  <si>
    <t>12-24</t>
  </si>
  <si>
    <t>Estimate ultimate claims for accident year 2017 using a frequency-severity technique.</t>
  </si>
  <si>
    <t>•    There is no claim development after 48 months.</t>
  </si>
  <si>
    <t>•    The tort reform has no effect on claim reporting.</t>
  </si>
  <si>
    <t>Claim severity reduction due to tort reform on claims occuring on or after January 1, 2017</t>
  </si>
  <si>
    <t>Reported Severity Development</t>
  </si>
  <si>
    <t>NA</t>
  </si>
  <si>
    <t>Reported Claim Count Age-to-Age Factors</t>
  </si>
  <si>
    <t>Reported Claims Age-to-Age Factors</t>
  </si>
  <si>
    <t>Reported Severity Triangle</t>
  </si>
  <si>
    <t>Not Provided</t>
  </si>
  <si>
    <t>Reported Claim Count Development</t>
  </si>
  <si>
    <t>Cumulative Reported Claim Counts as of (months)</t>
  </si>
  <si>
    <t>Cumulative Reported Claims ($000s) as of (months)</t>
  </si>
  <si>
    <t>Given the following data as of December 31, 2017:</t>
  </si>
  <si>
    <t>Based on the data provided, I will use the Frequency-Severity Development Approach:</t>
  </si>
  <si>
    <t>Q #18</t>
  </si>
  <si>
    <r>
      <t xml:space="preserve">We're calculating tail severities, so the trended tail severity at age 48 months should include all the data for 48 months </t>
    </r>
    <r>
      <rPr>
        <i/>
        <u/>
        <sz val="12"/>
        <color theme="1"/>
        <rFont val="Calibri (Body)"/>
      </rPr>
      <t>and older</t>
    </r>
    <r>
      <rPr>
        <sz val="12"/>
        <color theme="1"/>
        <rFont val="Calibri (Body)"/>
      </rPr>
      <t>. Also, make sure to trend to 2016. The data shown here is just the tail portion of a claims triangle. The whole claims triangle would include data from AYs 2010-2016.</t>
    </r>
    <r>
      <rPr>
        <sz val="12"/>
        <color theme="1"/>
        <rFont val="Calibri"/>
        <family val="2"/>
      </rPr>
      <t xml:space="preserve">
</t>
    </r>
    <r>
      <rPr>
        <b/>
        <sz val="12"/>
        <color theme="1"/>
        <rFont val="Calibri"/>
        <family val="2"/>
        <scheme val="minor"/>
      </rPr>
      <t>Part b</t>
    </r>
    <r>
      <rPr>
        <sz val="12"/>
        <color theme="1"/>
        <rFont val="Calibri"/>
        <family val="2"/>
      </rPr>
      <t xml:space="preserve"> - This is a 0.75 point problem part, so make sure to provide an actual selection of what maturity to use for the tail and enough justification.</t>
    </r>
  </si>
  <si>
    <t xml:space="preserve">There are a lot of incremental claims at 48 months and the trended incremental severities at 48 months appear stable down the column. For 60 months and older, the trended incremental severities show more volatility and the data is less credible with fewer claim counts. I recommend combining the 60 and older data for a trended tail severity. </t>
  </si>
  <si>
    <r>
      <t>Note:</t>
    </r>
    <r>
      <rPr>
        <sz val="12"/>
        <color theme="1"/>
        <rFont val="Calibri"/>
        <family val="2"/>
      </rPr>
      <t xml:space="preserve"> I only show the 72 and 84 calculations so that you can see how those are done and tie out with the values given in the problem.</t>
    </r>
  </si>
  <si>
    <t>severity to be used in a frequency-severity method for this insurance company.</t>
  </si>
  <si>
    <t>Discuss at which maturity age the data should be combined for the purpose of selecting an incremental tail</t>
  </si>
  <si>
    <t>0.75 point</t>
  </si>
  <si>
    <t>Trended Tail Severity</t>
  </si>
  <si>
    <t>Total Trended Paid Claims</t>
  </si>
  <si>
    <t>level.</t>
  </si>
  <si>
    <t>Total Closed Claim Counts</t>
  </si>
  <si>
    <t>Calculate the trended tail severities at maturity ages 48 months and 60 months at the accident year 2016 cost</t>
  </si>
  <si>
    <t>1.5 points</t>
  </si>
  <si>
    <t>84 &amp; Older</t>
  </si>
  <si>
    <t>72 &amp; Older</t>
  </si>
  <si>
    <t>60 &amp; Older</t>
  </si>
  <si>
    <t>48 &amp; Older</t>
  </si>
  <si>
    <t xml:space="preserve">•  Trended tail severity at 84 months at the accident year 2016 cost level = </t>
  </si>
  <si>
    <t xml:space="preserve">•  Trended tail severity at 72 months at the accident year 2016 cost level= </t>
  </si>
  <si>
    <t xml:space="preserve">•  Selected annual severity trend = </t>
  </si>
  <si>
    <t xml:space="preserve"> Year</t>
  </si>
  <si>
    <t>Incremental Paid Claims ($000) as of (months)</t>
  </si>
  <si>
    <t>Incremental Paid Severities</t>
  </si>
  <si>
    <t>Trend Inc Severities to 2016</t>
  </si>
  <si>
    <t>Incremental Closed Claim Counts as of (months)</t>
  </si>
  <si>
    <t>Incremental Paid Severities  = Inc Paid Claims / Inc Closed Claim Counts</t>
  </si>
  <si>
    <t>Given the following information for an insurance company as of December 31, 2016:</t>
  </si>
  <si>
    <t>Q #23</t>
  </si>
  <si>
    <t>Fall 2015</t>
  </si>
  <si>
    <t xml:space="preserve">BF Ultimate Claims = </t>
  </si>
  <si>
    <t xml:space="preserve">% Unreported (12 mo) = </t>
  </si>
  <si>
    <t xml:space="preserve">Freq-Sev Ultimate Claims = </t>
  </si>
  <si>
    <t xml:space="preserve">Selected Severity = </t>
  </si>
  <si>
    <t xml:space="preserve">Selected Frequency = </t>
  </si>
  <si>
    <t xml:space="preserve">Payroll = </t>
  </si>
  <si>
    <t>For AY 2016:</t>
  </si>
  <si>
    <t>Freq-Sev Ultimate Claims = Payroll x Selected Frequency x Selected Severity</t>
  </si>
  <si>
    <t>Part c.</t>
  </si>
  <si>
    <t>Seems stable, so I select the two-year average.</t>
  </si>
  <si>
    <t xml:space="preserve">Selected 2016 Severity = </t>
  </si>
  <si>
    <t>to 2016</t>
  </si>
  <si>
    <t>development technique with the frequency-severity technique.</t>
  </si>
  <si>
    <t>Estimate projected, ultimate severity for latest accident year:</t>
  </si>
  <si>
    <t>Calculate accident year 2016 ultimate claims using a Bornhuetter-Ferguson technique that blends the reported</t>
  </si>
  <si>
    <t>c.</t>
  </si>
  <si>
    <t>Select an appropriate ultimate severity estimate for accident year 2016.</t>
  </si>
  <si>
    <t>After projecting ultimate frequency to AY 2016 levels, there is a noticeable upward trend, so I will select the latest value for ultimate frequency.</t>
  </si>
  <si>
    <t>Select and briefly justify an ultimate frequency estimate for accident year 2016.</t>
  </si>
  <si>
    <t>1.75 points</t>
  </si>
  <si>
    <t>Justification</t>
  </si>
  <si>
    <t xml:space="preserve">•  Cumulative reported claims development factor at 12 months = </t>
  </si>
  <si>
    <t>% of Payroll ($000)</t>
  </si>
  <si>
    <t xml:space="preserve">Selected 2016 Frequency = </t>
  </si>
  <si>
    <t>•  Annual severity trend =</t>
  </si>
  <si>
    <t xml:space="preserve">•  Annual claim count trend = </t>
  </si>
  <si>
    <t xml:space="preserve">•  Annual inflation rate for payroll = </t>
  </si>
  <si>
    <t>not provided</t>
  </si>
  <si>
    <t>Payroll</t>
  </si>
  <si>
    <t>Projected</t>
  </si>
  <si>
    <t xml:space="preserve">Claim </t>
  </si>
  <si>
    <t>Indicated</t>
  </si>
  <si>
    <t>Ult Claim</t>
  </si>
  <si>
    <t>December 31, 2016:</t>
  </si>
  <si>
    <t>Estimate projected, ultimate frequency for the latest accident year:</t>
  </si>
  <si>
    <t>Given the following information about an insurance company's workers compensation book of business as of</t>
  </si>
  <si>
    <t>Q #20</t>
  </si>
  <si>
    <t>Fall 2017</t>
  </si>
  <si>
    <t>Because the data is given at half-years, you were expected to notice the different development pattern for reported severity in the first half and second half of an accident year. If you're given quarterly/semi-annual data, it's always a good idea to pay attention to whether seasonality is a factor. Part c specifically asks about seasonality, so that should also be a clue that seasonality may be involved in the part a answer.</t>
  </si>
  <si>
    <t>To test for seasonality, look at the ratio of closed-to-reported claim counts at half years. If one half of the year has a consistenly lower ratio than the other half, it could indicate slower claims payment/settlement during that half.</t>
  </si>
  <si>
    <r>
      <t xml:space="preserve">The claim count triangle is for claim counts </t>
    </r>
    <r>
      <rPr>
        <i/>
        <u/>
        <sz val="12"/>
        <color theme="1"/>
        <rFont val="Calibri"/>
        <family val="2"/>
      </rPr>
      <t>excluding claims closed with no payment</t>
    </r>
    <r>
      <rPr>
        <sz val="12"/>
        <color theme="1"/>
        <rFont val="Calibri"/>
        <family val="2"/>
      </rPr>
      <t>. Some claims may be opened by in the first year but close in the second year with no payment, causing downward claim count development.</t>
    </r>
  </si>
  <si>
    <t xml:space="preserve">as of Eval </t>
  </si>
  <si>
    <t>For the 6-12 age-to-age factors, there's a clear seasonality effect, so I selected two different patterns for the first and second half of the year.</t>
  </si>
  <si>
    <t>CDF (Half 2)</t>
  </si>
  <si>
    <t>Discuss a diagnostic that can be used to test for seasonality.</t>
  </si>
  <si>
    <t>LDF (Half 2)</t>
  </si>
  <si>
    <t>CDF (Half 1)</t>
  </si>
  <si>
    <t>Explain why the downward development observed in the claim count triangle in part a. above may occur.</t>
  </si>
  <si>
    <t>LDF (Half 1)</t>
  </si>
  <si>
    <t>30-36</t>
  </si>
  <si>
    <t>24-30</t>
  </si>
  <si>
    <t>18-24</t>
  </si>
  <si>
    <t>12-18</t>
  </si>
  <si>
    <t>6-12</t>
  </si>
  <si>
    <t>Calculate ultimate claims for accident year 2016 using a frequency-severity technique.</t>
  </si>
  <si>
    <t>2.25 points</t>
  </si>
  <si>
    <t>• There is no development in counts or severity beyond 36 months.</t>
  </si>
  <si>
    <t>2016-2</t>
  </si>
  <si>
    <t xml:space="preserve">2016-1 </t>
  </si>
  <si>
    <t xml:space="preserve">2015-2 </t>
  </si>
  <si>
    <t>2015-1</t>
  </si>
  <si>
    <t>2014-2</t>
  </si>
  <si>
    <t xml:space="preserve">2014-1 </t>
  </si>
  <si>
    <t>Half-Year</t>
  </si>
  <si>
    <t>Payment as of (months)</t>
  </si>
  <si>
    <t>Reported Severity ($) Excluding Claims Closed with No</t>
  </si>
  <si>
    <t>No Payment as of (months)</t>
  </si>
  <si>
    <t>Reported Claim Counts Excluding Claims Closed with</t>
  </si>
  <si>
    <t>Use the frequncy-severity development approach:</t>
  </si>
  <si>
    <t>Given the following claim experience:</t>
  </si>
  <si>
    <t>For this problem, the law change doesn't actually impact the answer because it doesn't affect the CDFs.</t>
  </si>
  <si>
    <t>Ultimate Severity =</t>
  </si>
  <si>
    <t>Ultimate Claim Counts =</t>
  </si>
  <si>
    <t>Estimate ultimate claims for accident year 2016 as of December 31, 2016 using a frequency-severity technique.</t>
  </si>
  <si>
    <t>•  There is no loss trend.</t>
  </si>
  <si>
    <t xml:space="preserve">    occurring on or after January 1, 2016. The expected impact is a 25% reduction in claim severity.</t>
  </si>
  <si>
    <t xml:space="preserve">•  A new law limiting claimant benefits came into effect on January 1, 2016 and is applicable to accidents </t>
  </si>
  <si>
    <t>•  There is no development after 36 months for reported claims or reported claim counts.</t>
  </si>
  <si>
    <t>Reported Severity - Adjusted to 2016 Level</t>
  </si>
  <si>
    <t>Counts as of (months)</t>
  </si>
  <si>
    <t xml:space="preserve">Cumulative Reported Claims </t>
  </si>
  <si>
    <t>($000) as of (months)</t>
  </si>
  <si>
    <t>Spring 2017</t>
  </si>
  <si>
    <r>
      <rPr>
        <b/>
        <sz val="12"/>
        <color theme="1"/>
        <rFont val="Calibri"/>
        <family val="2"/>
        <scheme val="minor"/>
      </rPr>
      <t>Part a</t>
    </r>
    <r>
      <rPr>
        <sz val="12"/>
        <color theme="1"/>
        <rFont val="Calibri"/>
        <family val="2"/>
      </rPr>
      <t xml:space="preserve"> - You could instead trend everything to 2015 cost levels and make a selection that way without needing to do the detrend part. Just make sure that you're consistent throughout. See the Examiner's Report, the cookbook recipe, and the examples in the Friedland Reserving textbook if you had difficulty with this one.
</t>
    </r>
    <r>
      <rPr>
        <b/>
        <sz val="12"/>
        <color theme="1"/>
        <rFont val="Calibri"/>
        <family val="2"/>
        <scheme val="minor"/>
      </rPr>
      <t>Part b</t>
    </r>
    <r>
      <rPr>
        <sz val="12"/>
        <color theme="1"/>
        <rFont val="Calibri"/>
        <family val="2"/>
      </rPr>
      <t xml:space="preserve"> - Any answer properly based on the key assumptions of frequency-severity techniques and grounded in the text should work. See the section "When the Frequency-Severity Techniques Work and When they Do Not." Take a look at other sample solutions in the Examiner's Report.</t>
    </r>
  </si>
  <si>
    <t>•  These techniques aren't useful when the needed data isn't available or when the claim count definition or claims processing hasn't been consistent over time.</t>
  </si>
  <si>
    <t>Not Useful Situation</t>
  </si>
  <si>
    <t>•  They can be useful to explicitly reflect inflation instead of assuming that past development patterns will properly account for inflationary forces.</t>
  </si>
  <si>
    <t>Useful Situation</t>
  </si>
  <si>
    <t xml:space="preserve">AY 2015 IBNR = </t>
  </si>
  <si>
    <t xml:space="preserve">Earned Premium = </t>
  </si>
  <si>
    <t>For AY 2015:</t>
  </si>
  <si>
    <t>Freq-Sev Ultimate Claims = Earned Prem x Selected Frequency x Selected Severity</t>
  </si>
  <si>
    <t xml:space="preserve">Selected 2015 Severity = </t>
  </si>
  <si>
    <t>are not useful.</t>
  </si>
  <si>
    <t>Briefly describe one situation where the frequency-severity techniques are useful and one situation where they</t>
  </si>
  <si>
    <t>Next, we need to estimate projected, ultimate severity for 2015 by detrending the AY 2016 selected ultimate severity:</t>
  </si>
  <si>
    <t>Estimate the IBNR for accident year 2015 as of December 31, 2016 using a frequency-severity technique.</t>
  </si>
  <si>
    <t>The 2012 frequency is quite low, so I will take the two year average assuming that 2015 is similar to 2013 and 2014.</t>
  </si>
  <si>
    <t xml:space="preserve">•  Accident year 2015 cumulative reported claims as of December 31, 2016 = </t>
  </si>
  <si>
    <t>•  Accident year 2016 selected ultimate severity =</t>
  </si>
  <si>
    <t xml:space="preserve">•  Annual severity trend = </t>
  </si>
  <si>
    <t>% of Earned Prem ($000)</t>
  </si>
  <si>
    <t xml:space="preserve">Selected 2015 Frequency = </t>
  </si>
  <si>
    <t>Earned Prem</t>
  </si>
  <si>
    <t>Factor to 2016</t>
  </si>
  <si>
    <t xml:space="preserve"> ($000)</t>
  </si>
  <si>
    <t xml:space="preserve">Level Adjustment </t>
  </si>
  <si>
    <t>Premium On-</t>
  </si>
  <si>
    <t>Given the following information for a private passenger auto insurer as of December 31, 2016:</t>
  </si>
  <si>
    <t>We first need to select a projected, ultimate frequency for 2015 using the prior years. We have on-level factors for 2016, so we'll first project everything to 2016, make a selection, then detrend to 2015:</t>
  </si>
  <si>
    <t>Q #16</t>
  </si>
  <si>
    <t>listed in part b. above</t>
  </si>
  <si>
    <t>Briefly describe an adjustment to the frequency-severity technique using disposal rates for each of the issues</t>
  </si>
  <si>
    <t>See the Examiner's Report and the Frequency-Severity section in Reserving. Other answers that are grounded in the Reserving text should be fine.</t>
  </si>
  <si>
    <t>current situation.</t>
  </si>
  <si>
    <t>Briefly describe two reasons the frequency-severity technique using disposal rates may not be appropriate in the</t>
  </si>
  <si>
    <t>•  Use the Berquist-Sherman method to restate the data to the current claims settlement pattern.</t>
  </si>
  <si>
    <t>Briefly describe two reasons the frequency-severity technique using disposal rates may be appropriate in the</t>
  </si>
  <si>
    <t>• Could exclude partial payments from severity and then add them back in the period where the corresponding claim closes.</t>
  </si>
  <si>
    <t>•  The claims department has been attempting to settle claims faster.</t>
  </si>
  <si>
    <t>•  There has been significant claim inflation over the last several years.</t>
  </si>
  <si>
    <t>•  The claims department has been strengthening case reserves for the last several years.</t>
  </si>
  <si>
    <t>•  The frequency development will be distorted by the extended statute of limitations and the faster settlement pattern, so historical data may not be predictive of the future.</t>
  </si>
  <si>
    <t xml:space="preserve">    development periods compared to previous years.</t>
  </si>
  <si>
    <t>•  This techniques assumes insignificant partial payments, which is not the case for this line.</t>
  </si>
  <si>
    <t>•  Recently the statute of limitations was extended, resulting in a significant increase in claim counts at later</t>
  </si>
  <si>
    <t>•  This line of business commonly has partial payments made on claims.</t>
  </si>
  <si>
    <t>•  The claim inflation can be explicitly reflected with the severity trend.</t>
  </si>
  <si>
    <t>technique using disposal rates. Given the following information:</t>
  </si>
  <si>
    <t>• It only uses paid data,  so it won't be affected by the change in case reserves.</t>
  </si>
  <si>
    <t>An actuary is calculating ultimate claim estimates for a long-tailed line of business using the frequency-severity</t>
  </si>
  <si>
    <t>Fall 2016</t>
  </si>
  <si>
    <r>
      <t xml:space="preserve">Because of the changing claim closure rates, it's not appropriate to use paid severities or closed claim count data. Instead, you needed to use the reported data for part b.
</t>
    </r>
    <r>
      <rPr>
        <b/>
        <sz val="12"/>
        <color theme="1"/>
        <rFont val="Calibri"/>
        <family val="2"/>
      </rPr>
      <t>Part a</t>
    </r>
    <r>
      <rPr>
        <sz val="12"/>
        <color theme="1"/>
        <rFont val="Calibri"/>
        <family val="2"/>
      </rPr>
      <t xml:space="preserve"> - You could also calculate the Ratio of Paid-to-Reported Claims triangle or Disposal Rates triangle for part a. See the sample solutions in the Examiner's Report.</t>
    </r>
  </si>
  <si>
    <t>Rept Severity</t>
  </si>
  <si>
    <t>Calculate an appropriate frequency-severity estimate of ultimate claims for accident years 2014 and 2015.</t>
  </si>
  <si>
    <t>2.5 points</t>
  </si>
  <si>
    <t>Determine whether evidence exists to support that claims are closing more quickly starting in 2014</t>
  </si>
  <si>
    <t xml:space="preserve">•  48-Ultimate reported severity factor = </t>
  </si>
  <si>
    <t xml:space="preserve">•  48-Ultimate paid severity factor = </t>
  </si>
  <si>
    <t xml:space="preserve">•  48-Ultimate closed claim count factor = </t>
  </si>
  <si>
    <t xml:space="preserve">•  48-Ultimate reported claim count factor = </t>
  </si>
  <si>
    <t>Because of the changing claims settlement rate, I will use reported data to avoid the distortion.</t>
  </si>
  <si>
    <t>Reported Claims ($000s) as of (months)</t>
  </si>
  <si>
    <t>Reported Claim Counts as of (months)</t>
  </si>
  <si>
    <t>The closed-to-reported claim count ratio is noticeably higher for the last two diagonals. This shows that claims are closing more quickly since 2014.</t>
  </si>
  <si>
    <t>Paid Claims ($000s) as of (months)</t>
  </si>
  <si>
    <t>Closed Claim Counts as of (months)</t>
  </si>
  <si>
    <t>Look at the ratio of closed-to-reported claim counts to test for changes in settlement rates:</t>
  </si>
  <si>
    <t>company made an effort to close claims more quickly starting in 2014. Given the following information:</t>
  </si>
  <si>
    <t>An actuary working at a n insurance company is using a frequency-severity technique to estimate ultimate claims. The</t>
  </si>
  <si>
    <t>Q #22</t>
  </si>
  <si>
    <t>See the Examiner's Report for some more sample solutions and context about what was accepted.</t>
  </si>
  <si>
    <t>Because this is a larger insurer, I recommend splitting the data between small and large deductible policies and estimate unpaid claims separately.</t>
  </si>
  <si>
    <t>deductible offerings described in part b. above.</t>
  </si>
  <si>
    <t>Recommend and justify an improvement to the actuary's estimation of unpaid claims given the change in</t>
  </si>
  <si>
    <t>impact of this change on the frequency-severity technique, including an assessment of the appropriateness of the</t>
  </si>
  <si>
    <t>The insurer recently changed their offering from large deductible policies to small deductible policies. Discuss the</t>
  </si>
  <si>
    <t>1.25 points</t>
  </si>
  <si>
    <t>It would not be appropriate to use a frequency-severity approach without adjusting the data because it assumes a stable and resonably homogenous types of claims. The older data with large deductibles will have a lower frequency and higher severity while more recent data with smaller deductibles will have higher frequency and lower severity. Because of the change, the historical frequency/severity trends will not be predictive of the future.</t>
  </si>
  <si>
    <t>general liability.</t>
  </si>
  <si>
    <t>Discuss whether the frequency-severity technique is appropriate for determining an estimate of unpaid claims for</t>
  </si>
  <si>
    <t>unpaid claims.</t>
  </si>
  <si>
    <t>It's appropriate. General Liability is a long-tail line and frequency-severity techniques avoid the innaccuracy of development methods in immature accident years by analyzing frequency and severity development and trends separately.</t>
  </si>
  <si>
    <t>An actuary for a large general liability insurer uses a frequency-severity technique to determine the estimate of</t>
  </si>
  <si>
    <r>
      <rPr>
        <b/>
        <sz val="12"/>
        <color theme="1"/>
        <rFont val="Calibri"/>
        <family val="2"/>
        <scheme val="minor"/>
      </rPr>
      <t>Part a</t>
    </r>
    <r>
      <rPr>
        <sz val="12"/>
        <color theme="1"/>
        <rFont val="Calibri"/>
        <family val="2"/>
      </rPr>
      <t xml:space="preserve"> - The solution could be simplified a little bit since you only really need to calculate the values shown in blue. Ultimately, all we're doing is calculating projected incremental claim counts and severities and multiplying them to get the unpaid claims.</t>
    </r>
  </si>
  <si>
    <t>•  Exclude AY 2013 severity data when selecting trended incremental severities for each maturity.</t>
  </si>
  <si>
    <t>•  Adjust the expected increment severities for AY 2013 to reflect the one-time increase.</t>
  </si>
  <si>
    <t>Adjustments</t>
  </si>
  <si>
    <r>
      <t xml:space="preserve">Note: </t>
    </r>
    <r>
      <rPr>
        <sz val="12"/>
        <color theme="1"/>
        <rFont val="Calibri"/>
        <family val="2"/>
      </rPr>
      <t>Select the latest diagonal based on the bullet point in the problem.</t>
    </r>
  </si>
  <si>
    <t>would be appropriate in this scenario.</t>
  </si>
  <si>
    <t>frequency or disposal rates. Briefly discuss two adjustments to the disposal rate frequency-severity technique that</t>
  </si>
  <si>
    <t>Assume accident year 2013 experienced a one-time increase in the severity of claim payments with no impact on</t>
  </si>
  <si>
    <t>Using the disposal rate frequency-severity technique, calculate the ultimate claims.</t>
  </si>
  <si>
    <t>2 points</t>
  </si>
  <si>
    <t>Trended Incremental Paid Severity</t>
  </si>
  <si>
    <t xml:space="preserve">•  Annual severity trend is </t>
  </si>
  <si>
    <t>•  There is no development beyond 36 months.</t>
  </si>
  <si>
    <t>•  The latest diagonal is representative of current claim adjusting practices.</t>
  </si>
  <si>
    <t>&lt;-- Match the ultimate claim counts</t>
  </si>
  <si>
    <t>36 months</t>
  </si>
  <si>
    <t>24 months</t>
  </si>
  <si>
    <t>12 months</t>
  </si>
  <si>
    <t>Cumulative Paid Claims ($000)</t>
  </si>
  <si>
    <t>Cumulative Closed Claim Counts</t>
  </si>
  <si>
    <t>Given the following data as of December 31, 2014:</t>
  </si>
  <si>
    <t>Q #21</t>
  </si>
  <si>
    <t>Spring 2015</t>
  </si>
  <si>
    <t>Reserving Ch. 11 - pg. 195-196, 212-213</t>
  </si>
  <si>
    <t>Source</t>
  </si>
  <si>
    <t>Appropriate because frequency-severity techniques can be used with paid clams data that wouldn't be impacted by changes in case reserving philosophy.</t>
  </si>
  <si>
    <t>Part d.</t>
  </si>
  <si>
    <t xml:space="preserve">May be appropriate if we adjust our selected severities to reflect the severity increase in recent periods. </t>
  </si>
  <si>
    <t>Alternatively</t>
  </si>
  <si>
    <t>Not appropriate. It requires stable, reasonably homogenous types of claims. This is violated if recently there's been an increase in particularly high-severity.</t>
  </si>
  <si>
    <t>A line of business that has experienced changes in case reserving philosophy during the experience period.</t>
  </si>
  <si>
    <t>d.</t>
  </si>
  <si>
    <t>A line of business with a recent increase in high severity claims during the experience period.</t>
  </si>
  <si>
    <t>It depends on how reopened claims show up in the insurer's systems, but it may not be appropriate because it can distort claim counts which affects both frequency and severity. These techniques assume claim counts are consistently grouped and defined.</t>
  </si>
  <si>
    <t>A line of business with a significant proportion of reopened claims.</t>
  </si>
  <si>
    <t>A very long-tailed line of business.</t>
  </si>
  <si>
    <t>It's appropriate. Development methods can be unstable/innaccurate for recent accident years of long-tail lines. Frequency-severity techniques can address this by analyzing frequency and severity development separately.</t>
  </si>
  <si>
    <t>Discuss whether a frequency-severity technique is appropriate to estimate ultimate claims for the following:</t>
  </si>
  <si>
    <t>Q #19</t>
  </si>
  <si>
    <t>Spring 2016</t>
  </si>
  <si>
    <t>The reporting pattern is given in a different order than how it's used for the accident years and we're asked for IBNR (not ultimate claims), so be carefuul on those two points.
Because of the claim count slowdown for 2012, we shouldn't use it for frequency. It would be OK to use it in the severity average if you assume that the types of claims reported in AY 2012 are similar to the earlier accident years.</t>
  </si>
  <si>
    <t xml:space="preserve">IBNR = </t>
  </si>
  <si>
    <t xml:space="preserve">Severity = </t>
  </si>
  <si>
    <t>Frequency =</t>
  </si>
  <si>
    <t>For AY 2012:</t>
  </si>
  <si>
    <t>Ultimate Claims = Exposure x Ultimate Frequency x Ultimate Severity</t>
  </si>
  <si>
    <t>There are only two data points, so I select the average of both for frequency and severity.</t>
  </si>
  <si>
    <t xml:space="preserve">Selected 2012 Severity = </t>
  </si>
  <si>
    <t>December 31 , 2012 and justify all selections.</t>
  </si>
  <si>
    <t>Use an appropriate frequency-severity technique to estimate the IBNR for accident year 2012 at</t>
  </si>
  <si>
    <t>•  Annual payroll trend =</t>
  </si>
  <si>
    <t>Estimate projected, ultimate severity for AY 2012:</t>
  </si>
  <si>
    <t>•  Annual frequency trend =</t>
  </si>
  <si>
    <t xml:space="preserve">    of claims being opened.</t>
  </si>
  <si>
    <t>•  The reported claim counts for accident year 2012 are unusually low due to a temporary slowdown</t>
  </si>
  <si>
    <t>% of Payroll (2012 levels)</t>
  </si>
  <si>
    <t xml:space="preserve">Selected 2012 Frequency = </t>
  </si>
  <si>
    <t>Trend Factor</t>
  </si>
  <si>
    <t>Severities</t>
  </si>
  <si>
    <t>Claim Count</t>
  </si>
  <si>
    <t>Month</t>
  </si>
  <si>
    <t>(Reported %)</t>
  </si>
  <si>
    <t xml:space="preserve">As of </t>
  </si>
  <si>
    <t>Reporting Patterns</t>
  </si>
  <si>
    <t>to 2012</t>
  </si>
  <si>
    <t>Estimate projected, ultimate frequency for AY 2012:</t>
  </si>
  <si>
    <t>December 31 , 2012</t>
  </si>
  <si>
    <t xml:space="preserve">Reported as of </t>
  </si>
  <si>
    <t>Given the following information:</t>
  </si>
  <si>
    <t>We're told the AY claim counts are unusually low, so this impacts both frequency and possibly severity. I will use 2010 and 2011 frequency-severity to estimate AY 2012 claims:</t>
  </si>
  <si>
    <t>Spring 2013</t>
  </si>
  <si>
    <t>This is a straight-forward Frequency-Severity Development method problem. The major steps are:
1 - Develop claim counts to ultimate
2 - Develop severity to ultimate
3 - Calculate ultimate claims as Ultimate Claim Counts x Ultimate Severity</t>
  </si>
  <si>
    <t>IBNR</t>
  </si>
  <si>
    <t>Using a frequency-severity technique, estimate the IBNR for all accident years.</t>
  </si>
  <si>
    <t>Assume no further development after 36 months.</t>
  </si>
  <si>
    <t>36 Months</t>
  </si>
  <si>
    <t>24 Months</t>
  </si>
  <si>
    <t>12 Months</t>
  </si>
  <si>
    <t>Reported Claim ($000)</t>
  </si>
  <si>
    <t>(excluding closed with no payment)</t>
  </si>
  <si>
    <t>Reported Claim Counts</t>
  </si>
  <si>
    <t>Fall 2013</t>
  </si>
  <si>
    <t>For this problem, we need to explicitly adjust for trend, so we need to we the disposal rates technique. Make sure to calculate the disposal rates and selected severity trend to reflect the information given in the problem about the legislative reform. This is important so that the incremental paid severities and incremental closed claim counts are in line with how AY 2013 will develop.</t>
  </si>
  <si>
    <t>The disposal rates are noticeably higher in the latest diagonal, in line with a reduction of the amount of time claims remain open. The average annual inflation decreased from 10% to 7%, which indicates that the reform decreased inflation, but not quite by half.</t>
  </si>
  <si>
    <t>Discuss whether or not each of the legislative reform impacts has occurred.</t>
  </si>
  <si>
    <t>1 point</t>
  </si>
  <si>
    <t>Assuming the closure rates and inflation observed during calendar year 2013 continue, use a frequency-severity approach to estimate unpaid claims for accident year 2013.</t>
  </si>
  <si>
    <r>
      <rPr>
        <u/>
        <sz val="12"/>
        <color theme="1"/>
        <rFont val="Calibri"/>
        <family val="2"/>
        <scheme val="minor"/>
      </rPr>
      <t>Justification</t>
    </r>
    <r>
      <rPr>
        <b/>
        <sz val="12"/>
        <color theme="1"/>
        <rFont val="Calibri"/>
        <family val="2"/>
        <scheme val="minor"/>
      </rPr>
      <t xml:space="preserve">: </t>
    </r>
    <r>
      <rPr>
        <sz val="12"/>
        <color theme="1"/>
        <rFont val="Calibri"/>
        <family val="2"/>
      </rPr>
      <t>I selected the average of the latest two years because because trended severities were lower in 2011 and prior.</t>
    </r>
  </si>
  <si>
    <t xml:space="preserve">Selected trend = </t>
  </si>
  <si>
    <t>Change in Trend</t>
  </si>
  <si>
    <t>Incremental Paid Severity</t>
  </si>
  <si>
    <r>
      <rPr>
        <u/>
        <sz val="12"/>
        <color theme="1"/>
        <rFont val="Calibri (Body)"/>
      </rPr>
      <t>Justification</t>
    </r>
    <r>
      <rPr>
        <b/>
        <sz val="12"/>
        <color theme="1"/>
        <rFont val="Calibri (Body)"/>
      </rPr>
      <t xml:space="preserve">: </t>
    </r>
    <r>
      <rPr>
        <sz val="12"/>
        <color theme="1"/>
        <rFont val="Calibri (Body)"/>
      </rPr>
      <t>I selected the latest calendar year, after the reforms took place.</t>
    </r>
  </si>
  <si>
    <t>Cumulative Paid Claims as of (months)</t>
  </si>
  <si>
    <t>The following information is available for the insurance company as of December 31, 2013:</t>
  </si>
  <si>
    <t>•  Reduce the average annual inflation by half of what it was prior to the reforms.</t>
  </si>
  <si>
    <t>•  Reduce the amount of time claims remained open.</t>
  </si>
  <si>
    <t>The legislative reforms were expected to have the following impacts:</t>
  </si>
  <si>
    <t>Because we need to explicitly adjust the inflation trend and disposal rate, I will use the disposal rates technique:</t>
  </si>
  <si>
    <t>A monoline insurance company writes business in one state. The state has experienced significant increases in insurance costs. In an effort to reduce costs, the state's government passes legislative reforms effective January 1, 2013, which impacts all outstanding and future reported insurance claims.</t>
  </si>
  <si>
    <t>Fall 2014</t>
  </si>
  <si>
    <t>This problem is a straightforward Frequency-Severity Development Technique problem. Simply break it down into the three main steps:
1 - Develop reported claim counts to ultimate
2 - Develop reported severity to ultimate
3 - Ult Claims = Ult Claim Counts * Ult Severity</t>
  </si>
  <si>
    <t>Claims closed without payment would lead to downared development in reported claim counts.</t>
  </si>
  <si>
    <r>
      <t xml:space="preserve">⇽ Subtract </t>
    </r>
    <r>
      <rPr>
        <i/>
        <u/>
        <sz val="12"/>
        <color theme="1"/>
        <rFont val="Calibri"/>
        <family val="2"/>
      </rPr>
      <t>paid</t>
    </r>
    <r>
      <rPr>
        <sz val="12"/>
        <color theme="1"/>
        <rFont val="Calibri"/>
        <family val="2"/>
      </rPr>
      <t xml:space="preserve"> claims to get unpaid claims estimate</t>
    </r>
  </si>
  <si>
    <t xml:space="preserve">Unpaid Claims Estimate = </t>
  </si>
  <si>
    <t>For AY 2018:</t>
  </si>
  <si>
    <t xml:space="preserve">AY 2018 Ultimate Severity = </t>
  </si>
  <si>
    <t>observed from 12 to 24 months.</t>
  </si>
  <si>
    <t>Briefly describe a situation that would lead to the downward development in reported claim counts</t>
  </si>
  <si>
    <t>0.25 point</t>
  </si>
  <si>
    <t>Calculate an unpaid claims estimate for accident year 2018 using a frequency-severity technique.</t>
  </si>
  <si>
    <t>36-Ult</t>
  </si>
  <si>
    <t>•  There is no development after 48 months.</t>
  </si>
  <si>
    <t>Accident year 2018 claim payments to date</t>
  </si>
  <si>
    <t>Reported Severity</t>
  </si>
  <si>
    <t>2 - Develop reported claim severities to ultimate:</t>
  </si>
  <si>
    <t xml:space="preserve">AY 2018 Ultimate Claim Counts = </t>
  </si>
  <si>
    <t>1 - Develop reported claim counts to ultimate:</t>
  </si>
  <si>
    <t>Given the following data evaluated as of December 31, 2018:</t>
  </si>
  <si>
    <t>Q #15</t>
  </si>
  <si>
    <t>Spring 2019</t>
  </si>
  <si>
    <r>
      <t xml:space="preserve">We need to calculate a grouped tail severity for </t>
    </r>
    <r>
      <rPr>
        <i/>
        <u/>
        <sz val="12"/>
        <color theme="1"/>
        <rFont val="Calibri (Body)"/>
      </rPr>
      <t>age 84 and older</t>
    </r>
    <r>
      <rPr>
        <sz val="12"/>
        <color theme="1"/>
        <rFont val="Calibri"/>
        <family val="2"/>
      </rPr>
      <t xml:space="preserve"> (can ignore age 72). A common error was applying the legislative change factor to the wrong years.</t>
    </r>
  </si>
  <si>
    <t>Briefly describe two considerations when choosing the maturity age of the tail severity.</t>
  </si>
  <si>
    <r>
      <rPr>
        <i/>
        <u/>
        <sz val="12"/>
        <color theme="1"/>
        <rFont val="Calibri (Body)"/>
      </rPr>
      <t>Any two of the following:</t>
    </r>
    <r>
      <rPr>
        <sz val="12"/>
        <color theme="1"/>
        <rFont val="Calibri"/>
        <family val="2"/>
      </rPr>
      <t xml:space="preserve"> 
•  The age(s) at which the results become erratic
•  The influence on the total projections of selecting a particular age
•  The percentage of claims expected to be closed beyond the selected maturity age
These are straight from pg. 209 in Friedland - Ratemaking. Some other sample solutions were accepted, but these are the best answers.</t>
    </r>
  </si>
  <si>
    <t>Estimate the trended tail severity for age 84 and older at 2018 cost levels.</t>
  </si>
  <si>
    <t xml:space="preserve">January 1, 2012 </t>
  </si>
  <si>
    <t>Reduction in claim costs from legislative change for claims occurring after</t>
  </si>
  <si>
    <t>Incremental Paid Claims ($000s) as of (months)</t>
  </si>
  <si>
    <t>Trend incremental severities to 2018 cost levels and adjust AY 2011 for the legislative change:</t>
  </si>
  <si>
    <t>Given the following information as of December 31 , 201 8:</t>
  </si>
  <si>
    <r>
      <rPr>
        <b/>
        <sz val="12"/>
        <color theme="1"/>
        <rFont val="Calibri"/>
        <family val="2"/>
        <scheme val="minor"/>
      </rPr>
      <t>Part b</t>
    </r>
    <r>
      <rPr>
        <sz val="12"/>
        <color theme="1"/>
        <rFont val="Calibri"/>
        <family val="2"/>
      </rPr>
      <t xml:space="preserve"> - Make sure to discuss an advantage that the paid development technique doesn't have (see the wording in the question).</t>
    </r>
  </si>
  <si>
    <t>•  Separates the frequency and severity, enabling greater insight into the impact of each</t>
  </si>
  <si>
    <t>•  Can use alternate assumptions about disposal rates or trends</t>
  </si>
  <si>
    <t>•  Can make explicit adjustments to severity to handle a legal changes like here</t>
  </si>
  <si>
    <t>One of the following</t>
  </si>
  <si>
    <t>AY 2018 Unpaid Claims =</t>
  </si>
  <si>
    <t>in part a. above.</t>
  </si>
  <si>
    <t>Describe an advantage of using the frequency severity technique over a paid development technique</t>
  </si>
  <si>
    <t>&lt;-- There is no trend, but adjust for court decision</t>
  </si>
  <si>
    <t>Use the frequency-severity disposal rate technique to estimate unpaid claims for accident year 2018.</t>
  </si>
  <si>
    <t>Adjusted Incremental Paid Severity</t>
  </si>
  <si>
    <t>•  There is no severity trend.</t>
  </si>
  <si>
    <t>•  All claims are closed by age 48 months</t>
  </si>
  <si>
    <t xml:space="preserve">•  A court decision on December 31, 2018 will increase future claim payments by </t>
  </si>
  <si>
    <t>Cumulative Paid Claims ($000s)</t>
  </si>
  <si>
    <t xml:space="preserve">Count </t>
  </si>
  <si>
    <t>Closed Claim Counts</t>
  </si>
  <si>
    <t>Given the following:</t>
  </si>
  <si>
    <t>Fall 2019</t>
  </si>
  <si>
    <t xml:space="preserve">Ult Claim Counts below attachment = </t>
  </si>
  <si>
    <t xml:space="preserve">AY 2013 Ult Excess Claim Counts = </t>
  </si>
  <si>
    <t xml:space="preserve">AY 2013 Ultimate Claim Counts = </t>
  </si>
  <si>
    <t xml:space="preserve">Selected = </t>
  </si>
  <si>
    <t>Claim Count %</t>
  </si>
  <si>
    <t>AY</t>
  </si>
  <si>
    <t>Excess</t>
  </si>
  <si>
    <t>Ground-Up</t>
  </si>
  <si>
    <t>Alternatively, you could determine the ratio of excess counts to ground‐up claim counts for 2011 and 2012 at ultimate and then apply this ratio to the 2013 ultimate ground‐up claim counts to calculate the 2013 excess claim counts. This approach also got full credit:</t>
  </si>
  <si>
    <t>Alternative Solution</t>
  </si>
  <si>
    <t>Calculate the insurer's ultimate claim counts that do not exceed the attachment point for accident year 2013.</t>
  </si>
  <si>
    <t xml:space="preserve">•  Annual excess frequency trend: </t>
  </si>
  <si>
    <t xml:space="preserve">•  Annual total frequency trend: </t>
  </si>
  <si>
    <t xml:space="preserve">•  Annual revenue trend: </t>
  </si>
  <si>
    <t>12-Ult</t>
  </si>
  <si>
    <t>24-Ult</t>
  </si>
  <si>
    <t>At first, this problem is a little confusing. We know that ground-up claim counts are unaffected, so it's simple to calculate the ultimate ground-up claim counts. 
The tricky part is to calculate the ultimate claim counts excess the attachment point for 2013. The 2011 and 2012 data are unaffected, so we trend it to 2013 levels and select a frequency % relative to trended revenue. By applying this to AY 2013 revenue, we get ultimate excess claim counts.
This approach is the first part of the Frequency-Severity Technique #2.</t>
  </si>
  <si>
    <t>Attachment Point</t>
  </si>
  <si>
    <t>(months)</t>
  </si>
  <si>
    <t>Reinsurance</t>
  </si>
  <si>
    <t>Age</t>
  </si>
  <si>
    <t>Excess of</t>
  </si>
  <si>
    <t>(prior to operational change)</t>
  </si>
  <si>
    <t>Factor to Ultimate</t>
  </si>
  <si>
    <t>Revenue</t>
  </si>
  <si>
    <t>(Exposure)</t>
  </si>
  <si>
    <t>Exposure</t>
  </si>
  <si>
    <t>The following information is available as of December 31, 2013:</t>
  </si>
  <si>
    <t>An insurance company writes general liability insurance and purchases excess-of-loss reinsurance. On January 1, 2013, the insurance company implemented a new reserving process which resulted in a large increase in the average case outstanding for claims occurring in 2013.</t>
  </si>
  <si>
    <t>The reported claim counts excess the attachment point for 2013 (the 90 value) are higher than historical levels. The ground-up claim counts will be unaffected. We can project the ultimate excess claim count frequency from 2011/2012 to 2013 levels to help determine what the ultimate excess claim counts will be for 2013:</t>
  </si>
  <si>
    <t>Spring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</si>
</sst>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0.0"/>
    <numFmt numFmtId="166" formatCode="0.0%"/>
    <numFmt numFmtId="167" formatCode="0.000"/>
    <numFmt numFmtId="168" formatCode="_(* #,##0_);_(* \(#,##0\);_(* &quot;-&quot;??_);_(@_)"/>
    <numFmt numFmtId="169" formatCode="[$$-409]#,##0"/>
    <numFmt numFmtId="170" formatCode="_(* #,##0.000_);_(* \(#,##0.000\);_(* &quot;-&quot;??_);_(@_)"/>
    <numFmt numFmtId="171" formatCode="0_);\(0\)"/>
  </numFmts>
  <fonts count="21" x14ac:knownFonts="1">
    <font>
      <sz val="12"/>
      <color theme="1"/>
      <name val="Calibri"/>
      <family val="2"/>
    </font>
    <font>
      <sz val="12"/>
      <color theme="1"/>
      <name val="Calibri"/>
      <family val="2"/>
    </font>
    <font>
      <b/>
      <sz val="12"/>
      <color theme="1"/>
      <name val="Calibri"/>
      <family val="2"/>
    </font>
    <font>
      <sz val="12"/>
      <color theme="1"/>
      <name val="Calibri"/>
      <family val="2"/>
      <scheme val="minor"/>
    </font>
    <font>
      <b/>
      <sz val="14"/>
      <color theme="1"/>
      <name val="Calibri"/>
      <family val="2"/>
      <scheme val="minor"/>
    </font>
    <font>
      <b/>
      <sz val="12"/>
      <color theme="1"/>
      <name val="Calibri"/>
      <family val="2"/>
      <scheme val="minor"/>
    </font>
    <font>
      <i/>
      <u/>
      <sz val="12"/>
      <color theme="1"/>
      <name val="Calibri"/>
      <family val="2"/>
      <scheme val="minor"/>
    </font>
    <font>
      <sz val="12"/>
      <color theme="1"/>
      <name val="Arial"/>
      <family val="2"/>
    </font>
    <font>
      <sz val="11"/>
      <color rgb="FF000000"/>
      <name val="Calibri"/>
      <family val="2"/>
      <charset val="1"/>
    </font>
    <font>
      <sz val="12"/>
      <color rgb="FF000000"/>
      <name val="Calibri"/>
      <family val="2"/>
    </font>
    <font>
      <sz val="11"/>
      <color theme="1"/>
      <name val="Calibri"/>
      <family val="2"/>
      <scheme val="minor"/>
    </font>
    <font>
      <u/>
      <sz val="12"/>
      <color theme="1"/>
      <name val="Calibri"/>
      <family val="2"/>
    </font>
    <font>
      <b/>
      <sz val="14"/>
      <color theme="1"/>
      <name val="Calibri"/>
      <family val="2"/>
    </font>
    <font>
      <i/>
      <u/>
      <sz val="12"/>
      <color theme="1"/>
      <name val="Calibri (Body)"/>
    </font>
    <font>
      <sz val="12"/>
      <color theme="1"/>
      <name val="Calibri (Body)"/>
    </font>
    <font>
      <i/>
      <u/>
      <sz val="12"/>
      <color theme="1"/>
      <name val="Calibri"/>
      <family val="2"/>
    </font>
    <font>
      <u/>
      <sz val="12"/>
      <color theme="1"/>
      <name val="Calibri"/>
      <family val="2"/>
      <scheme val="minor"/>
    </font>
    <font>
      <sz val="11"/>
      <color theme="1"/>
      <name val="Calibri"/>
      <family val="2"/>
    </font>
    <font>
      <u/>
      <sz val="12"/>
      <color theme="1"/>
      <name val="Calibri (Body)"/>
    </font>
    <font>
      <b/>
      <sz val="12"/>
      <color theme="1"/>
      <name val="Calibri (Body)"/>
    </font>
    <font>
      <u/>
      <sz val="1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s>
  <borders count="33">
    <border>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3" fillId="0" borderId="0"/>
    <xf numFmtId="9" fontId="3" fillId="0" borderId="0" applyFont="0" applyFill="0" applyBorder="0" applyAlignment="0" applyProtection="0"/>
    <xf numFmtId="0" fontId="8" fillId="0" borderId="0"/>
    <xf numFmtId="0" fontId="10" fillId="0" borderId="0"/>
    <xf numFmtId="0" fontId="1" fillId="0" borderId="0"/>
    <xf numFmtId="43" fontId="3" fillId="0" borderId="0" applyFont="0" applyFill="0" applyBorder="0" applyAlignment="0" applyProtection="0"/>
    <xf numFmtId="0" fontId="1" fillId="0" borderId="0"/>
    <xf numFmtId="0" fontId="3" fillId="0" borderId="0"/>
  </cellStyleXfs>
  <cellXfs count="329">
    <xf numFmtId="0" fontId="0" fillId="0" borderId="0" xfId="0"/>
    <xf numFmtId="0" fontId="3" fillId="0" borderId="0" xfId="1"/>
    <xf numFmtId="0" fontId="3" fillId="0" borderId="0" xfId="1" applyAlignment="1">
      <alignment horizontal="left"/>
    </xf>
    <xf numFmtId="3" fontId="4" fillId="0" borderId="0" xfId="1" applyNumberFormat="1" applyFont="1"/>
    <xf numFmtId="3" fontId="3" fillId="0" borderId="0" xfId="1" applyNumberFormat="1"/>
    <xf numFmtId="0" fontId="1" fillId="0" borderId="0" xfId="1" applyFont="1"/>
    <xf numFmtId="0" fontId="6" fillId="0" borderId="0" xfId="1" applyFont="1"/>
    <xf numFmtId="0" fontId="2" fillId="0" borderId="0" xfId="1" applyFont="1"/>
    <xf numFmtId="3" fontId="1" fillId="0" borderId="1" xfId="1" applyNumberFormat="1" applyFont="1" applyBorder="1" applyAlignment="1">
      <alignment horizontal="center" wrapText="1"/>
    </xf>
    <xf numFmtId="3" fontId="1" fillId="0" borderId="0" xfId="1" applyNumberFormat="1" applyFont="1" applyAlignment="1">
      <alignment horizontal="center" wrapText="1"/>
    </xf>
    <xf numFmtId="0" fontId="7" fillId="0" borderId="0" xfId="1" applyFont="1"/>
    <xf numFmtId="0" fontId="1" fillId="0" borderId="2" xfId="1" applyFont="1" applyBorder="1" applyAlignment="1">
      <alignment horizontal="center" wrapText="1"/>
    </xf>
    <xf numFmtId="3" fontId="1" fillId="0" borderId="3" xfId="1" applyNumberFormat="1" applyFont="1" applyBorder="1" applyAlignment="1">
      <alignment horizontal="center" wrapText="1"/>
    </xf>
    <xf numFmtId="3" fontId="1" fillId="0" borderId="4" xfId="1" applyNumberFormat="1" applyFont="1" applyBorder="1" applyAlignment="1">
      <alignment horizontal="center" wrapText="1"/>
    </xf>
    <xf numFmtId="10" fontId="1" fillId="0" borderId="5" xfId="2" applyNumberFormat="1" applyFont="1" applyBorder="1" applyAlignment="1">
      <alignment horizontal="center" wrapText="1"/>
    </xf>
    <xf numFmtId="3" fontId="1" fillId="0" borderId="5" xfId="1" applyNumberFormat="1" applyFont="1" applyBorder="1" applyAlignment="1">
      <alignment horizontal="center" wrapText="1"/>
    </xf>
    <xf numFmtId="0" fontId="1" fillId="0" borderId="6" xfId="1" applyFont="1" applyBorder="1" applyAlignment="1">
      <alignment horizontal="center" wrapText="1"/>
    </xf>
    <xf numFmtId="3" fontId="1" fillId="0" borderId="7" xfId="1" applyNumberFormat="1" applyFont="1" applyBorder="1" applyAlignment="1">
      <alignment horizontal="center" wrapText="1"/>
    </xf>
    <xf numFmtId="10" fontId="1" fillId="0" borderId="0" xfId="2" applyNumberFormat="1" applyFont="1" applyAlignment="1">
      <alignment horizontal="center" wrapText="1"/>
    </xf>
    <xf numFmtId="3" fontId="1" fillId="0" borderId="8" xfId="1" applyNumberFormat="1" applyFont="1" applyBorder="1" applyAlignment="1">
      <alignment horizontal="center" wrapText="1"/>
    </xf>
    <xf numFmtId="0" fontId="1" fillId="0" borderId="3" xfId="1" applyFont="1" applyBorder="1" applyAlignment="1">
      <alignment horizontal="center"/>
    </xf>
    <xf numFmtId="0" fontId="1" fillId="0" borderId="5" xfId="1" applyFont="1" applyBorder="1" applyAlignment="1">
      <alignment horizontal="center" wrapText="1"/>
    </xf>
    <xf numFmtId="0" fontId="1" fillId="0" borderId="9" xfId="1" applyFont="1" applyBorder="1" applyAlignment="1">
      <alignment horizontal="center"/>
    </xf>
    <xf numFmtId="0" fontId="1" fillId="0" borderId="0" xfId="1" applyFont="1" applyAlignment="1">
      <alignment horizontal="center" vertical="center"/>
    </xf>
    <xf numFmtId="0" fontId="1" fillId="0" borderId="2" xfId="1" applyFont="1" applyBorder="1" applyAlignment="1">
      <alignment horizontal="center" vertical="center"/>
    </xf>
    <xf numFmtId="3" fontId="1" fillId="0" borderId="0" xfId="1" applyNumberFormat="1" applyFont="1" applyAlignment="1">
      <alignment horizontal="center"/>
    </xf>
    <xf numFmtId="0" fontId="1" fillId="0" borderId="0" xfId="1" applyFont="1" applyAlignment="1">
      <alignment horizontal="center"/>
    </xf>
    <xf numFmtId="9" fontId="1" fillId="0" borderId="2" xfId="1" applyNumberFormat="1" applyFont="1" applyBorder="1" applyAlignment="1">
      <alignment horizontal="center"/>
    </xf>
    <xf numFmtId="164" fontId="1" fillId="0" borderId="0" xfId="1" applyNumberFormat="1" applyFont="1" applyAlignment="1">
      <alignment horizontal="center" wrapText="1"/>
    </xf>
    <xf numFmtId="165" fontId="1" fillId="0" borderId="0" xfId="1" applyNumberFormat="1" applyFont="1" applyAlignment="1">
      <alignment horizontal="center" wrapText="1"/>
    </xf>
    <xf numFmtId="0" fontId="1" fillId="0" borderId="10" xfId="1" applyFont="1" applyBorder="1" applyAlignment="1">
      <alignment horizontal="center" wrapText="1"/>
    </xf>
    <xf numFmtId="0" fontId="1" fillId="0" borderId="11" xfId="1" applyFont="1" applyBorder="1" applyAlignment="1">
      <alignment horizontal="center" vertical="center"/>
    </xf>
    <xf numFmtId="0" fontId="3" fillId="2" borderId="12" xfId="1" applyFill="1" applyBorder="1"/>
    <xf numFmtId="0" fontId="3" fillId="2" borderId="13" xfId="1" applyFill="1" applyBorder="1"/>
    <xf numFmtId="0" fontId="3" fillId="2" borderId="13" xfId="1" quotePrefix="1" applyFill="1" applyBorder="1"/>
    <xf numFmtId="0" fontId="3" fillId="2" borderId="14" xfId="1" applyFill="1" applyBorder="1" applyAlignment="1">
      <alignment horizontal="left"/>
    </xf>
    <xf numFmtId="0" fontId="3" fillId="2" borderId="15" xfId="1" applyFill="1" applyBorder="1"/>
    <xf numFmtId="0" fontId="3" fillId="2" borderId="0" xfId="1" applyFill="1"/>
    <xf numFmtId="0" fontId="3" fillId="2" borderId="16" xfId="1" applyFill="1" applyBorder="1" applyAlignment="1">
      <alignment horizontal="left"/>
    </xf>
    <xf numFmtId="0" fontId="3" fillId="2" borderId="0" xfId="1" applyFill="1" applyAlignment="1">
      <alignment horizontal="left"/>
    </xf>
    <xf numFmtId="0" fontId="3" fillId="2" borderId="0" xfId="1" applyFill="1" applyAlignment="1">
      <alignment horizontal="center"/>
    </xf>
    <xf numFmtId="10" fontId="1" fillId="0" borderId="0" xfId="2" applyNumberFormat="1" applyFont="1" applyBorder="1" applyAlignment="1">
      <alignment horizontal="center"/>
    </xf>
    <xf numFmtId="0" fontId="3" fillId="2" borderId="17" xfId="1" applyFill="1" applyBorder="1" applyAlignment="1">
      <alignment horizontal="center"/>
    </xf>
    <xf numFmtId="9" fontId="3" fillId="2" borderId="20" xfId="1" applyNumberFormat="1" applyFill="1" applyBorder="1" applyAlignment="1">
      <alignment horizontal="center"/>
    </xf>
    <xf numFmtId="10" fontId="1" fillId="0" borderId="0" xfId="2" applyNumberFormat="1" applyFont="1" applyAlignment="1">
      <alignment horizontal="center"/>
    </xf>
    <xf numFmtId="3" fontId="1" fillId="0" borderId="2" xfId="1" applyNumberFormat="1" applyFont="1" applyBorder="1" applyAlignment="1">
      <alignment horizontal="center" wrapText="1"/>
    </xf>
    <xf numFmtId="166" fontId="3" fillId="2" borderId="20" xfId="1" applyNumberFormat="1" applyFill="1" applyBorder="1" applyAlignment="1">
      <alignment horizontal="center"/>
    </xf>
    <xf numFmtId="3" fontId="1" fillId="0" borderId="18" xfId="1" applyNumberFormat="1" applyFont="1" applyBorder="1" applyAlignment="1">
      <alignment horizontal="center" wrapText="1"/>
    </xf>
    <xf numFmtId="166" fontId="3" fillId="2" borderId="21" xfId="1" applyNumberFormat="1" applyFill="1" applyBorder="1" applyAlignment="1">
      <alignment horizontal="center"/>
    </xf>
    <xf numFmtId="3" fontId="3" fillId="2" borderId="0" xfId="1" applyNumberFormat="1" applyFill="1" applyAlignment="1">
      <alignment horizontal="center"/>
    </xf>
    <xf numFmtId="3" fontId="3" fillId="2" borderId="21" xfId="1" applyNumberFormat="1" applyFill="1" applyBorder="1" applyAlignment="1">
      <alignment horizontal="center"/>
    </xf>
    <xf numFmtId="0" fontId="3" fillId="2" borderId="21" xfId="1" applyFill="1" applyBorder="1" applyAlignment="1">
      <alignment horizontal="center"/>
    </xf>
    <xf numFmtId="167" fontId="3" fillId="2" borderId="21" xfId="1" applyNumberFormat="1" applyFill="1" applyBorder="1" applyAlignment="1">
      <alignment horizontal="center"/>
    </xf>
    <xf numFmtId="3" fontId="3" fillId="2" borderId="17" xfId="1" applyNumberFormat="1" applyFill="1" applyBorder="1" applyAlignment="1">
      <alignment horizontal="center"/>
    </xf>
    <xf numFmtId="0" fontId="3" fillId="2" borderId="6" xfId="1" applyFill="1" applyBorder="1" applyAlignment="1">
      <alignment horizontal="center"/>
    </xf>
    <xf numFmtId="0" fontId="3" fillId="2" borderId="10" xfId="1" applyFill="1" applyBorder="1" applyAlignment="1">
      <alignment horizontal="center"/>
    </xf>
    <xf numFmtId="164" fontId="1" fillId="0" borderId="2" xfId="1" applyNumberFormat="1" applyFont="1" applyBorder="1" applyAlignment="1">
      <alignment horizontal="center" wrapText="1"/>
    </xf>
    <xf numFmtId="0" fontId="3" fillId="2" borderId="2" xfId="1" applyFill="1" applyBorder="1" applyAlignment="1">
      <alignment horizontal="center"/>
    </xf>
    <xf numFmtId="0" fontId="3" fillId="2" borderId="22" xfId="1" applyFill="1" applyBorder="1" applyAlignment="1">
      <alignment horizontal="center"/>
    </xf>
    <xf numFmtId="0" fontId="3" fillId="2" borderId="11" xfId="1" applyFill="1" applyBorder="1" applyAlignment="1">
      <alignment horizontal="center"/>
    </xf>
    <xf numFmtId="167" fontId="3" fillId="2" borderId="17" xfId="1" applyNumberFormat="1" applyFill="1" applyBorder="1" applyAlignment="1">
      <alignment horizontal="center"/>
    </xf>
    <xf numFmtId="0" fontId="3" fillId="2" borderId="18" xfId="1" applyFill="1" applyBorder="1" applyAlignment="1">
      <alignment horizontal="center"/>
    </xf>
    <xf numFmtId="0" fontId="3" fillId="2" borderId="20" xfId="1" applyFill="1" applyBorder="1" applyAlignment="1">
      <alignment horizontal="center"/>
    </xf>
    <xf numFmtId="0" fontId="3" fillId="2" borderId="8" xfId="1" applyFill="1" applyBorder="1" applyAlignment="1">
      <alignment horizontal="center"/>
    </xf>
    <xf numFmtId="0" fontId="5" fillId="0" borderId="0" xfId="1" applyFont="1"/>
    <xf numFmtId="2" fontId="5" fillId="2" borderId="0" xfId="1" applyNumberFormat="1" applyFont="1" applyFill="1" applyAlignment="1">
      <alignment horizontal="center"/>
    </xf>
    <xf numFmtId="0" fontId="5" fillId="2" borderId="0" xfId="1" applyFont="1" applyFill="1"/>
    <xf numFmtId="0" fontId="3" fillId="2" borderId="23" xfId="1" applyFill="1" applyBorder="1"/>
    <xf numFmtId="0" fontId="3" fillId="2" borderId="24" xfId="1" applyFill="1" applyBorder="1"/>
    <xf numFmtId="0" fontId="3" fillId="2" borderId="24" xfId="1" applyFill="1" applyBorder="1" applyAlignment="1">
      <alignment horizontal="center"/>
    </xf>
    <xf numFmtId="0" fontId="5" fillId="2" borderId="24" xfId="1" applyFont="1" applyFill="1" applyBorder="1"/>
    <xf numFmtId="0" fontId="3" fillId="2" borderId="25" xfId="1" applyFill="1" applyBorder="1" applyAlignment="1">
      <alignment horizontal="left"/>
    </xf>
    <xf numFmtId="0" fontId="4" fillId="0" borderId="0" xfId="1" applyFont="1"/>
    <xf numFmtId="3" fontId="9" fillId="0" borderId="1" xfId="3" applyNumberFormat="1" applyFont="1" applyBorder="1" applyAlignment="1">
      <alignment horizontal="center"/>
    </xf>
    <xf numFmtId="3" fontId="9" fillId="3" borderId="0" xfId="4" applyNumberFormat="1" applyFont="1" applyFill="1" applyAlignment="1">
      <alignment horizontal="center" vertical="center" wrapText="1"/>
    </xf>
    <xf numFmtId="3" fontId="1" fillId="0" borderId="11" xfId="4" applyNumberFormat="1" applyFont="1" applyBorder="1" applyAlignment="1">
      <alignment horizontal="center" vertical="center" wrapText="1"/>
    </xf>
    <xf numFmtId="0" fontId="1" fillId="0" borderId="2" xfId="4" applyFont="1" applyBorder="1" applyAlignment="1">
      <alignment horizontal="center" vertical="center" wrapText="1"/>
    </xf>
    <xf numFmtId="0" fontId="1" fillId="0" borderId="3" xfId="5" applyBorder="1" applyAlignment="1">
      <alignment horizontal="center" vertical="center" wrapText="1"/>
    </xf>
    <xf numFmtId="0" fontId="1" fillId="0" borderId="5" xfId="5" applyBorder="1" applyAlignment="1">
      <alignment horizontal="center" vertical="center" wrapText="1"/>
    </xf>
    <xf numFmtId="0" fontId="1" fillId="0" borderId="10" xfId="5" applyBorder="1" applyAlignment="1">
      <alignment horizontal="center" vertical="center" wrapText="1"/>
    </xf>
    <xf numFmtId="0" fontId="1" fillId="0" borderId="6" xfId="5" applyBorder="1" applyAlignment="1">
      <alignment horizontal="center" vertical="center" wrapText="1"/>
    </xf>
    <xf numFmtId="0" fontId="9" fillId="0" borderId="9" xfId="3" applyFont="1" applyBorder="1" applyAlignment="1">
      <alignment horizontal="center"/>
    </xf>
    <xf numFmtId="0" fontId="1" fillId="0" borderId="2" xfId="5" applyBorder="1" applyAlignment="1">
      <alignment horizontal="center" vertical="center" wrapText="1"/>
    </xf>
    <xf numFmtId="3" fontId="2" fillId="3" borderId="19" xfId="4" applyNumberFormat="1" applyFont="1" applyFill="1" applyBorder="1" applyAlignment="1">
      <alignment horizontal="center" vertical="center" wrapText="1"/>
    </xf>
    <xf numFmtId="3" fontId="1" fillId="0" borderId="0" xfId="4" applyNumberFormat="1" applyFont="1" applyAlignment="1">
      <alignment horizontal="center" vertical="center" wrapText="1"/>
    </xf>
    <xf numFmtId="3" fontId="1" fillId="0" borderId="0" xfId="4" applyNumberFormat="1" applyFont="1" applyAlignment="1">
      <alignment horizontal="center" vertical="center"/>
    </xf>
    <xf numFmtId="0" fontId="3" fillId="2" borderId="14" xfId="1" applyFill="1" applyBorder="1"/>
    <xf numFmtId="0" fontId="3" fillId="2" borderId="26" xfId="1" applyFill="1" applyBorder="1"/>
    <xf numFmtId="0" fontId="3" fillId="2" borderId="27" xfId="1" applyFill="1" applyBorder="1"/>
    <xf numFmtId="0" fontId="3" fillId="2" borderId="27" xfId="1" quotePrefix="1" applyFill="1" applyBorder="1"/>
    <xf numFmtId="0" fontId="3" fillId="2" borderId="28" xfId="1" applyFill="1" applyBorder="1"/>
    <xf numFmtId="0" fontId="3" fillId="2" borderId="0" xfId="1" quotePrefix="1" applyFill="1"/>
    <xf numFmtId="0" fontId="3" fillId="2" borderId="16" xfId="1" applyFill="1" applyBorder="1"/>
    <xf numFmtId="0" fontId="3" fillId="2" borderId="16" xfId="1" applyFill="1" applyBorder="1" applyAlignment="1">
      <alignment horizontal="center"/>
    </xf>
    <xf numFmtId="1" fontId="9" fillId="3" borderId="0" xfId="4" applyNumberFormat="1" applyFont="1" applyFill="1" applyAlignment="1">
      <alignment horizontal="center" vertical="center" wrapText="1"/>
    </xf>
    <xf numFmtId="9" fontId="3" fillId="2" borderId="21" xfId="1" applyNumberFormat="1" applyFill="1" applyBorder="1" applyAlignment="1">
      <alignment horizontal="center"/>
    </xf>
    <xf numFmtId="0" fontId="11" fillId="0" borderId="0" xfId="5" applyFont="1" applyAlignment="1">
      <alignment vertical="center"/>
    </xf>
    <xf numFmtId="167" fontId="1" fillId="0" borderId="0" xfId="4" applyNumberFormat="1" applyFont="1" applyAlignment="1">
      <alignment horizontal="center" vertical="center" wrapText="1"/>
    </xf>
    <xf numFmtId="168" fontId="0" fillId="0" borderId="0" xfId="6" applyNumberFormat="1" applyFont="1"/>
    <xf numFmtId="0" fontId="3" fillId="0" borderId="0" xfId="1" applyAlignment="1">
      <alignment horizontal="left" wrapText="1"/>
    </xf>
    <xf numFmtId="0" fontId="3" fillId="2" borderId="25" xfId="1" applyFill="1" applyBorder="1"/>
    <xf numFmtId="0" fontId="12" fillId="0" borderId="0" xfId="1" applyFont="1"/>
    <xf numFmtId="0" fontId="1" fillId="0" borderId="0" xfId="1" applyFont="1" applyAlignment="1">
      <alignment horizontal="left" vertical="top" wrapText="1"/>
    </xf>
    <xf numFmtId="3" fontId="1" fillId="0" borderId="12" xfId="1" applyNumberFormat="1" applyFont="1" applyBorder="1" applyAlignment="1">
      <alignment horizontal="center"/>
    </xf>
    <xf numFmtId="0" fontId="1" fillId="0" borderId="13" xfId="1" applyFont="1" applyBorder="1"/>
    <xf numFmtId="0" fontId="1" fillId="0" borderId="14" xfId="1" applyFont="1" applyBorder="1"/>
    <xf numFmtId="3" fontId="2" fillId="0" borderId="0" xfId="1" applyNumberFormat="1" applyFont="1"/>
    <xf numFmtId="9" fontId="1" fillId="0" borderId="2" xfId="2" applyFont="1" applyBorder="1" applyAlignment="1">
      <alignment horizontal="center" wrapText="1"/>
    </xf>
    <xf numFmtId="167" fontId="1" fillId="0" borderId="0" xfId="1" applyNumberFormat="1" applyFont="1" applyAlignment="1">
      <alignment horizontal="center"/>
    </xf>
    <xf numFmtId="167" fontId="1" fillId="0" borderId="0" xfId="1" applyNumberFormat="1" applyFont="1" applyAlignment="1">
      <alignment horizontal="center" wrapText="1"/>
    </xf>
    <xf numFmtId="0" fontId="1" fillId="0" borderId="2" xfId="1" applyFont="1" applyBorder="1" applyAlignment="1">
      <alignment horizontal="center"/>
    </xf>
    <xf numFmtId="0" fontId="1" fillId="0" borderId="5" xfId="1" quotePrefix="1" applyFont="1" applyBorder="1" applyAlignment="1">
      <alignment horizontal="center" wrapText="1"/>
    </xf>
    <xf numFmtId="16" fontId="1" fillId="0" borderId="5" xfId="1" quotePrefix="1" applyNumberFormat="1" applyFont="1" applyBorder="1" applyAlignment="1">
      <alignment horizontal="center" wrapText="1"/>
    </xf>
    <xf numFmtId="9" fontId="3" fillId="2" borderId="0" xfId="1" applyNumberFormat="1" applyFill="1" applyAlignment="1">
      <alignment horizontal="center"/>
    </xf>
    <xf numFmtId="0" fontId="11" fillId="0" borderId="0" xfId="1" applyFont="1"/>
    <xf numFmtId="167" fontId="3" fillId="2" borderId="21" xfId="1" applyNumberFormat="1" applyFill="1" applyBorder="1" applyAlignment="1">
      <alignment horizontal="center" vertical="center"/>
    </xf>
    <xf numFmtId="0" fontId="3" fillId="2" borderId="21" xfId="1" applyFill="1" applyBorder="1" applyAlignment="1">
      <alignment horizontal="center" vertical="center"/>
    </xf>
    <xf numFmtId="3" fontId="3" fillId="2" borderId="21" xfId="1" applyNumberFormat="1" applyFill="1" applyBorder="1" applyAlignment="1">
      <alignment horizontal="center" vertical="center"/>
    </xf>
    <xf numFmtId="0" fontId="3" fillId="0" borderId="0" xfId="1" applyAlignment="1">
      <alignment horizontal="left" vertical="top" wrapText="1"/>
    </xf>
    <xf numFmtId="0" fontId="3" fillId="2" borderId="28" xfId="1" applyFill="1" applyBorder="1" applyAlignment="1">
      <alignment horizontal="left"/>
    </xf>
    <xf numFmtId="3" fontId="1" fillId="3" borderId="0" xfId="4" applyNumberFormat="1" applyFont="1" applyFill="1" applyAlignment="1">
      <alignment horizontal="center"/>
    </xf>
    <xf numFmtId="3" fontId="2" fillId="0" borderId="12" xfId="4" applyNumberFormat="1" applyFont="1" applyBorder="1" applyAlignment="1">
      <alignment horizontal="center"/>
    </xf>
    <xf numFmtId="3" fontId="2" fillId="0" borderId="14" xfId="4" applyNumberFormat="1" applyFont="1" applyBorder="1" applyAlignment="1">
      <alignment horizontal="center"/>
    </xf>
    <xf numFmtId="167" fontId="1" fillId="0" borderId="0" xfId="4" applyNumberFormat="1" applyFont="1"/>
    <xf numFmtId="0" fontId="1" fillId="0" borderId="0" xfId="4" applyFont="1" applyAlignment="1">
      <alignment vertical="center"/>
    </xf>
    <xf numFmtId="3" fontId="1" fillId="3" borderId="5" xfId="4" applyNumberFormat="1" applyFont="1" applyFill="1" applyBorder="1" applyAlignment="1">
      <alignment horizontal="center"/>
    </xf>
    <xf numFmtId="3" fontId="1" fillId="0" borderId="0" xfId="4" applyNumberFormat="1" applyFont="1" applyAlignment="1">
      <alignment horizontal="center"/>
    </xf>
    <xf numFmtId="3" fontId="1" fillId="0" borderId="6" xfId="4" applyNumberFormat="1" applyFont="1" applyBorder="1"/>
    <xf numFmtId="0" fontId="1" fillId="0" borderId="5" xfId="4" applyFont="1" applyBorder="1" applyAlignment="1">
      <alignment vertical="center"/>
    </xf>
    <xf numFmtId="3" fontId="1" fillId="0" borderId="2" xfId="4" applyNumberFormat="1" applyFont="1" applyBorder="1"/>
    <xf numFmtId="0" fontId="3" fillId="3" borderId="5" xfId="1" applyFill="1" applyBorder="1" applyAlignment="1">
      <alignment horizontal="center"/>
    </xf>
    <xf numFmtId="0" fontId="3" fillId="0" borderId="5" xfId="1" applyBorder="1" applyAlignment="1">
      <alignment horizontal="center"/>
    </xf>
    <xf numFmtId="0" fontId="3" fillId="0" borderId="6" xfId="1" applyBorder="1"/>
    <xf numFmtId="0" fontId="3" fillId="0" borderId="5" xfId="1" applyBorder="1"/>
    <xf numFmtId="169" fontId="3" fillId="2" borderId="0" xfId="1" applyNumberFormat="1" applyFill="1"/>
    <xf numFmtId="169" fontId="3" fillId="2" borderId="0" xfId="1" applyNumberFormat="1" applyFill="1" applyAlignment="1">
      <alignment horizontal="left"/>
    </xf>
    <xf numFmtId="9" fontId="3" fillId="2" borderId="0" xfId="1" applyNumberFormat="1" applyFill="1"/>
    <xf numFmtId="9" fontId="3" fillId="2" borderId="0" xfId="1" applyNumberFormat="1" applyFill="1" applyAlignment="1">
      <alignment horizontal="left"/>
    </xf>
    <xf numFmtId="0" fontId="3" fillId="2" borderId="29" xfId="1" applyFill="1" applyBorder="1" applyAlignment="1">
      <alignment horizontal="center"/>
    </xf>
    <xf numFmtId="3" fontId="1" fillId="0" borderId="12" xfId="1" applyNumberFormat="1" applyFont="1" applyBorder="1"/>
    <xf numFmtId="166" fontId="1" fillId="0" borderId="0" xfId="2" applyNumberFormat="1" applyFont="1" applyAlignment="1">
      <alignment horizontal="center"/>
    </xf>
    <xf numFmtId="0" fontId="2" fillId="0" borderId="0" xfId="1" applyFont="1" applyAlignment="1">
      <alignment horizontal="left" vertical="top" wrapText="1"/>
    </xf>
    <xf numFmtId="10" fontId="1" fillId="0" borderId="12" xfId="2" applyNumberFormat="1" applyFont="1" applyBorder="1" applyAlignment="1">
      <alignment horizontal="center"/>
    </xf>
    <xf numFmtId="0" fontId="1" fillId="0" borderId="0" xfId="1" applyFont="1" applyAlignment="1">
      <alignment horizontal="center" wrapText="1"/>
    </xf>
    <xf numFmtId="0" fontId="3" fillId="2" borderId="5" xfId="1" applyFill="1" applyBorder="1" applyAlignment="1">
      <alignment horizontal="center"/>
    </xf>
    <xf numFmtId="0" fontId="3" fillId="2" borderId="17" xfId="1" quotePrefix="1" applyFill="1" applyBorder="1" applyAlignment="1">
      <alignment horizontal="center"/>
    </xf>
    <xf numFmtId="0" fontId="3" fillId="2" borderId="19" xfId="1" applyFill="1" applyBorder="1" applyAlignment="1">
      <alignment horizontal="center"/>
    </xf>
    <xf numFmtId="3" fontId="1" fillId="0" borderId="1" xfId="1" applyNumberFormat="1" applyFont="1" applyBorder="1" applyAlignment="1">
      <alignment horizontal="center"/>
    </xf>
    <xf numFmtId="0" fontId="1" fillId="0" borderId="18" xfId="1" applyFont="1" applyBorder="1" applyAlignment="1">
      <alignment horizontal="center"/>
    </xf>
    <xf numFmtId="167" fontId="1" fillId="0" borderId="5" xfId="1" applyNumberFormat="1" applyFont="1" applyBorder="1" applyAlignment="1">
      <alignment horizontal="center"/>
    </xf>
    <xf numFmtId="3" fontId="1" fillId="0" borderId="6" xfId="1" applyNumberFormat="1" applyFont="1" applyBorder="1" applyAlignment="1">
      <alignment horizontal="center" wrapText="1"/>
    </xf>
    <xf numFmtId="164" fontId="1" fillId="0" borderId="5" xfId="1" applyNumberFormat="1" applyFont="1" applyBorder="1" applyAlignment="1">
      <alignment horizontal="center" wrapText="1"/>
    </xf>
    <xf numFmtId="0" fontId="11" fillId="0" borderId="0" xfId="1" applyFont="1" applyAlignment="1">
      <alignment vertical="center"/>
    </xf>
    <xf numFmtId="0" fontId="1" fillId="0" borderId="0" xfId="1" applyFont="1" applyAlignment="1">
      <alignment horizontal="left"/>
    </xf>
    <xf numFmtId="167" fontId="1" fillId="3" borderId="0" xfId="1" applyNumberFormat="1" applyFont="1" applyFill="1" applyAlignment="1">
      <alignment horizontal="center"/>
    </xf>
    <xf numFmtId="167" fontId="1" fillId="0" borderId="5" xfId="1" applyNumberFormat="1" applyFont="1" applyBorder="1" applyAlignment="1">
      <alignment horizontal="center" wrapText="1"/>
    </xf>
    <xf numFmtId="0" fontId="1" fillId="0" borderId="6" xfId="1" applyFont="1" applyBorder="1" applyAlignment="1">
      <alignment horizontal="center"/>
    </xf>
    <xf numFmtId="0" fontId="17" fillId="0" borderId="0" xfId="1" applyFont="1"/>
    <xf numFmtId="3" fontId="1" fillId="3" borderId="0" xfId="1" applyNumberFormat="1" applyFont="1" applyFill="1" applyAlignment="1">
      <alignment horizontal="center" wrapText="1"/>
    </xf>
    <xf numFmtId="0" fontId="16" fillId="0" borderId="0" xfId="1" applyFont="1"/>
    <xf numFmtId="0" fontId="3" fillId="0" borderId="13" xfId="1" applyBorder="1"/>
    <xf numFmtId="0" fontId="3" fillId="0" borderId="14" xfId="1" applyBorder="1"/>
    <xf numFmtId="3" fontId="2" fillId="0" borderId="0" xfId="1" applyNumberFormat="1" applyFont="1" applyAlignment="1">
      <alignment horizontal="center"/>
    </xf>
    <xf numFmtId="10" fontId="2" fillId="0" borderId="0" xfId="2" applyNumberFormat="1" applyFont="1" applyBorder="1" applyAlignment="1">
      <alignment horizontal="center"/>
    </xf>
    <xf numFmtId="10" fontId="3" fillId="0" borderId="0" xfId="1" applyNumberFormat="1"/>
    <xf numFmtId="169" fontId="3" fillId="2" borderId="21" xfId="1" applyNumberFormat="1" applyFill="1" applyBorder="1" applyAlignment="1">
      <alignment horizontal="center"/>
    </xf>
    <xf numFmtId="0" fontId="3" fillId="2" borderId="8" xfId="1" applyFill="1" applyBorder="1" applyAlignment="1">
      <alignment horizontal="center" vertical="center"/>
    </xf>
    <xf numFmtId="0" fontId="3" fillId="2" borderId="20" xfId="1" applyFill="1" applyBorder="1" applyAlignment="1">
      <alignment horizontal="center" vertical="center"/>
    </xf>
    <xf numFmtId="0" fontId="3" fillId="0" borderId="0" xfId="1" applyAlignment="1">
      <alignment horizontal="center" vertical="center"/>
    </xf>
    <xf numFmtId="164" fontId="1" fillId="3" borderId="0" xfId="1" applyNumberFormat="1" applyFont="1" applyFill="1" applyAlignment="1">
      <alignment horizontal="center" wrapText="1"/>
    </xf>
    <xf numFmtId="43" fontId="3" fillId="0" borderId="0" xfId="1" applyNumberFormat="1"/>
    <xf numFmtId="170" fontId="0" fillId="0" borderId="0" xfId="6" applyNumberFormat="1" applyFont="1"/>
    <xf numFmtId="3" fontId="1" fillId="0" borderId="1" xfId="7" applyNumberFormat="1" applyBorder="1" applyAlignment="1">
      <alignment horizontal="center"/>
    </xf>
    <xf numFmtId="3" fontId="1" fillId="0" borderId="7" xfId="7" applyNumberFormat="1" applyBorder="1" applyAlignment="1">
      <alignment horizontal="center"/>
    </xf>
    <xf numFmtId="0" fontId="1" fillId="0" borderId="9" xfId="7" applyBorder="1" applyAlignment="1">
      <alignment horizontal="center"/>
    </xf>
    <xf numFmtId="3" fontId="1" fillId="3" borderId="0" xfId="4" applyNumberFormat="1" applyFont="1" applyFill="1" applyAlignment="1">
      <alignment horizontal="center" vertical="center" wrapText="1"/>
    </xf>
    <xf numFmtId="0" fontId="11" fillId="0" borderId="0" xfId="4" applyFont="1" applyAlignment="1">
      <alignment vertical="center" wrapText="1"/>
    </xf>
    <xf numFmtId="1" fontId="9" fillId="3" borderId="2" xfId="4" applyNumberFormat="1" applyFont="1" applyFill="1" applyBorder="1" applyAlignment="1">
      <alignment horizontal="center" vertical="center" wrapText="1"/>
    </xf>
    <xf numFmtId="0" fontId="3" fillId="2" borderId="20" xfId="1" applyFill="1" applyBorder="1"/>
    <xf numFmtId="3" fontId="1" fillId="0" borderId="2" xfId="4" applyNumberFormat="1" applyFont="1" applyBorder="1" applyAlignment="1">
      <alignment horizontal="center" vertical="center" wrapText="1"/>
    </xf>
    <xf numFmtId="0" fontId="3" fillId="2" borderId="21" xfId="1" applyFill="1" applyBorder="1"/>
    <xf numFmtId="0" fontId="11" fillId="0" borderId="11" xfId="5" applyFont="1" applyBorder="1" applyAlignment="1">
      <alignment vertical="center"/>
    </xf>
    <xf numFmtId="171" fontId="11" fillId="0" borderId="0" xfId="4" applyNumberFormat="1" applyFont="1" applyAlignment="1">
      <alignment vertical="center"/>
    </xf>
    <xf numFmtId="0" fontId="3" fillId="2" borderId="31" xfId="1" applyFill="1" applyBorder="1" applyAlignment="1">
      <alignment horizontal="center"/>
    </xf>
    <xf numFmtId="0" fontId="3" fillId="2" borderId="30" xfId="1" applyFill="1" applyBorder="1" applyAlignment="1">
      <alignment horizontal="center"/>
    </xf>
    <xf numFmtId="3" fontId="1" fillId="0" borderId="12" xfId="1" applyNumberFormat="1" applyFont="1" applyBorder="1" applyAlignment="1">
      <alignment horizontal="center" wrapText="1"/>
    </xf>
    <xf numFmtId="0" fontId="1" fillId="0" borderId="14" xfId="1" applyFont="1" applyBorder="1" applyAlignment="1">
      <alignment horizontal="left"/>
    </xf>
    <xf numFmtId="10" fontId="1" fillId="0" borderId="0" xfId="1" applyNumberFormat="1" applyFont="1" applyAlignment="1">
      <alignment horizontal="center"/>
    </xf>
    <xf numFmtId="166" fontId="3" fillId="2" borderId="6" xfId="1" applyNumberFormat="1" applyFill="1" applyBorder="1" applyAlignment="1">
      <alignment horizontal="center"/>
    </xf>
    <xf numFmtId="166" fontId="3" fillId="2" borderId="10" xfId="1" applyNumberFormat="1" applyFill="1" applyBorder="1" applyAlignment="1">
      <alignment horizontal="center"/>
    </xf>
    <xf numFmtId="166" fontId="3" fillId="2" borderId="2" xfId="1" applyNumberFormat="1" applyFill="1" applyBorder="1" applyAlignment="1">
      <alignment horizontal="center"/>
    </xf>
    <xf numFmtId="166" fontId="3" fillId="2" borderId="11" xfId="1" applyNumberFormat="1" applyFill="1" applyBorder="1" applyAlignment="1">
      <alignment horizontal="center"/>
    </xf>
    <xf numFmtId="166" fontId="3" fillId="2" borderId="18" xfId="1" applyNumberFormat="1" applyFill="1" applyBorder="1" applyAlignment="1">
      <alignment horizontal="center"/>
    </xf>
    <xf numFmtId="166" fontId="3" fillId="2" borderId="8" xfId="1" applyNumberFormat="1" applyFill="1" applyBorder="1" applyAlignment="1">
      <alignment horizontal="center"/>
    </xf>
    <xf numFmtId="169" fontId="3" fillId="2" borderId="17" xfId="1" applyNumberFormat="1" applyFill="1" applyBorder="1" applyAlignment="1">
      <alignment horizontal="center"/>
    </xf>
    <xf numFmtId="169" fontId="3" fillId="2" borderId="6" xfId="1" applyNumberFormat="1" applyFill="1" applyBorder="1" applyAlignment="1">
      <alignment horizontal="center"/>
    </xf>
    <xf numFmtId="3" fontId="3" fillId="2" borderId="10" xfId="1" applyNumberFormat="1" applyFill="1" applyBorder="1" applyAlignment="1">
      <alignment horizontal="center"/>
    </xf>
    <xf numFmtId="169" fontId="3" fillId="2" borderId="22" xfId="1" applyNumberFormat="1" applyFill="1" applyBorder="1" applyAlignment="1">
      <alignment horizontal="center"/>
    </xf>
    <xf numFmtId="169" fontId="3" fillId="2" borderId="2" xfId="1" applyNumberFormat="1" applyFill="1" applyBorder="1" applyAlignment="1">
      <alignment horizontal="center"/>
    </xf>
    <xf numFmtId="3" fontId="3" fillId="2" borderId="11" xfId="1" applyNumberFormat="1" applyFill="1" applyBorder="1" applyAlignment="1">
      <alignment horizontal="center"/>
    </xf>
    <xf numFmtId="169" fontId="3" fillId="2" borderId="20" xfId="1" applyNumberFormat="1" applyFill="1" applyBorder="1" applyAlignment="1">
      <alignment horizontal="center"/>
    </xf>
    <xf numFmtId="169" fontId="3" fillId="2" borderId="18" xfId="1" applyNumberFormat="1" applyFill="1" applyBorder="1" applyAlignment="1">
      <alignment horizontal="center"/>
    </xf>
    <xf numFmtId="3" fontId="3" fillId="2" borderId="8" xfId="1" applyNumberFormat="1" applyFill="1" applyBorder="1" applyAlignment="1">
      <alignment horizontal="center"/>
    </xf>
    <xf numFmtId="0" fontId="1" fillId="0" borderId="2" xfId="1" applyFont="1" applyBorder="1"/>
    <xf numFmtId="169" fontId="3" fillId="2" borderId="5" xfId="1" applyNumberFormat="1" applyFill="1" applyBorder="1" applyAlignment="1">
      <alignment horizontal="center"/>
    </xf>
    <xf numFmtId="169" fontId="3" fillId="2" borderId="10" xfId="1" applyNumberFormat="1" applyFill="1" applyBorder="1" applyAlignment="1">
      <alignment horizontal="center"/>
    </xf>
    <xf numFmtId="169" fontId="3" fillId="2" borderId="0" xfId="1" applyNumberFormat="1" applyFill="1" applyAlignment="1">
      <alignment horizontal="center"/>
    </xf>
    <xf numFmtId="169" fontId="3" fillId="2" borderId="11" xfId="1" applyNumberFormat="1" applyFill="1" applyBorder="1" applyAlignment="1">
      <alignment horizontal="center"/>
    </xf>
    <xf numFmtId="169" fontId="3" fillId="2" borderId="19" xfId="1" applyNumberFormat="1" applyFill="1" applyBorder="1" applyAlignment="1">
      <alignment horizontal="center"/>
    </xf>
    <xf numFmtId="169" fontId="3" fillId="2" borderId="8" xfId="1" applyNumberFormat="1" applyFill="1" applyBorder="1" applyAlignment="1">
      <alignment horizontal="center"/>
    </xf>
    <xf numFmtId="3" fontId="1" fillId="3" borderId="19" xfId="4" applyNumberFormat="1" applyFont="1" applyFill="1" applyBorder="1" applyAlignment="1">
      <alignment horizontal="center" vertical="center" wrapText="1"/>
    </xf>
    <xf numFmtId="3" fontId="3" fillId="2" borderId="22" xfId="1" applyNumberFormat="1" applyFill="1" applyBorder="1" applyAlignment="1">
      <alignment horizontal="center"/>
    </xf>
    <xf numFmtId="3" fontId="3" fillId="2" borderId="20" xfId="1" applyNumberFormat="1" applyFill="1" applyBorder="1" applyAlignment="1">
      <alignment horizontal="center"/>
    </xf>
    <xf numFmtId="3" fontId="3" fillId="2" borderId="6" xfId="1" applyNumberFormat="1" applyFill="1" applyBorder="1" applyAlignment="1">
      <alignment horizontal="center"/>
    </xf>
    <xf numFmtId="3" fontId="3" fillId="2" borderId="5" xfId="1" applyNumberFormat="1" applyFill="1" applyBorder="1" applyAlignment="1">
      <alignment horizontal="center"/>
    </xf>
    <xf numFmtId="9" fontId="5" fillId="0" borderId="0" xfId="1" applyNumberFormat="1" applyFont="1" applyAlignment="1">
      <alignment horizontal="center"/>
    </xf>
    <xf numFmtId="3" fontId="3" fillId="2" borderId="2" xfId="1" applyNumberFormat="1" applyFill="1" applyBorder="1" applyAlignment="1">
      <alignment horizontal="center"/>
    </xf>
    <xf numFmtId="3" fontId="3" fillId="2" borderId="11" xfId="1" quotePrefix="1" applyNumberFormat="1" applyFill="1" applyBorder="1" applyAlignment="1">
      <alignment horizontal="center"/>
    </xf>
    <xf numFmtId="166" fontId="0" fillId="0" borderId="0" xfId="2" applyNumberFormat="1" applyFont="1" applyAlignment="1">
      <alignment horizontal="center"/>
    </xf>
    <xf numFmtId="166" fontId="3" fillId="0" borderId="0" xfId="2" applyNumberFormat="1" applyAlignment="1">
      <alignment horizontal="center"/>
    </xf>
    <xf numFmtId="3" fontId="3" fillId="2" borderId="18" xfId="1" applyNumberFormat="1" applyFill="1" applyBorder="1" applyAlignment="1">
      <alignment horizontal="center"/>
    </xf>
    <xf numFmtId="3" fontId="3" fillId="2" borderId="19" xfId="1" applyNumberFormat="1" applyFill="1" applyBorder="1" applyAlignment="1">
      <alignment horizontal="center"/>
    </xf>
    <xf numFmtId="0" fontId="14" fillId="0" borderId="0" xfId="1" applyFont="1"/>
    <xf numFmtId="169" fontId="3" fillId="2" borderId="11" xfId="1" quotePrefix="1" applyNumberFormat="1" applyFill="1" applyBorder="1" applyAlignment="1">
      <alignment horizontal="center"/>
    </xf>
    <xf numFmtId="3" fontId="2" fillId="0" borderId="0" xfId="1" applyNumberFormat="1" applyFont="1" applyAlignment="1">
      <alignment horizontal="center" wrapText="1"/>
    </xf>
    <xf numFmtId="3" fontId="3" fillId="2" borderId="29" xfId="1" applyNumberFormat="1" applyFill="1" applyBorder="1"/>
    <xf numFmtId="3" fontId="3" fillId="2" borderId="30" xfId="1" applyNumberFormat="1" applyFill="1" applyBorder="1"/>
    <xf numFmtId="3" fontId="3" fillId="2" borderId="31" xfId="1" applyNumberFormat="1" applyFill="1" applyBorder="1"/>
    <xf numFmtId="167" fontId="3" fillId="2" borderId="6" xfId="1" applyNumberFormat="1" applyFill="1" applyBorder="1" applyAlignment="1">
      <alignment horizontal="center"/>
    </xf>
    <xf numFmtId="167" fontId="3" fillId="2" borderId="5" xfId="1" applyNumberFormat="1" applyFill="1" applyBorder="1" applyAlignment="1">
      <alignment horizontal="center"/>
    </xf>
    <xf numFmtId="167" fontId="3" fillId="2" borderId="10" xfId="1" applyNumberFormat="1" applyFill="1" applyBorder="1" applyAlignment="1">
      <alignment horizontal="center"/>
    </xf>
    <xf numFmtId="167" fontId="3" fillId="2" borderId="2" xfId="1" applyNumberFormat="1" applyFill="1" applyBorder="1" applyAlignment="1">
      <alignment horizontal="center"/>
    </xf>
    <xf numFmtId="167" fontId="3" fillId="2" borderId="0" xfId="1" applyNumberFormat="1" applyFill="1" applyAlignment="1">
      <alignment horizontal="center"/>
    </xf>
    <xf numFmtId="167" fontId="3" fillId="2" borderId="11" xfId="1" applyNumberFormat="1" applyFill="1" applyBorder="1" applyAlignment="1">
      <alignment horizontal="center"/>
    </xf>
    <xf numFmtId="167" fontId="3" fillId="2" borderId="18" xfId="1" applyNumberFormat="1" applyFill="1" applyBorder="1" applyAlignment="1">
      <alignment horizontal="center"/>
    </xf>
    <xf numFmtId="167" fontId="3" fillId="2" borderId="19" xfId="1" applyNumberFormat="1" applyFill="1" applyBorder="1" applyAlignment="1">
      <alignment horizontal="center"/>
    </xf>
    <xf numFmtId="167" fontId="3" fillId="2" borderId="8" xfId="1" applyNumberFormat="1" applyFill="1" applyBorder="1" applyAlignment="1">
      <alignment horizontal="center"/>
    </xf>
    <xf numFmtId="3" fontId="3" fillId="2" borderId="10" xfId="1" quotePrefix="1" applyNumberFormat="1" applyFill="1" applyBorder="1" applyAlignment="1">
      <alignment horizontal="center"/>
    </xf>
    <xf numFmtId="1" fontId="5" fillId="0" borderId="0" xfId="1" applyNumberFormat="1" applyFont="1" applyAlignment="1">
      <alignment horizontal="center"/>
    </xf>
    <xf numFmtId="9" fontId="3" fillId="2" borderId="17" xfId="1" applyNumberFormat="1" applyFill="1" applyBorder="1" applyAlignment="1">
      <alignment horizontal="center"/>
    </xf>
    <xf numFmtId="3" fontId="1" fillId="0" borderId="32" xfId="4" applyNumberFormat="1" applyFont="1" applyBorder="1" applyAlignment="1">
      <alignment horizontal="center"/>
    </xf>
    <xf numFmtId="3" fontId="1" fillId="0" borderId="5" xfId="4" applyNumberFormat="1" applyFont="1" applyBorder="1"/>
    <xf numFmtId="3" fontId="1" fillId="0" borderId="0" xfId="4" applyNumberFormat="1" applyFont="1"/>
    <xf numFmtId="3" fontId="1" fillId="0" borderId="12" xfId="7" applyNumberFormat="1" applyBorder="1" applyAlignment="1">
      <alignment horizontal="center"/>
    </xf>
    <xf numFmtId="3" fontId="9" fillId="3" borderId="0" xfId="8" applyNumberFormat="1" applyFont="1" applyFill="1" applyAlignment="1">
      <alignment horizontal="center" vertical="center" wrapText="1"/>
    </xf>
    <xf numFmtId="3" fontId="1" fillId="0" borderId="0" xfId="8" applyNumberFormat="1" applyFont="1" applyAlignment="1">
      <alignment horizontal="center" vertical="center" wrapText="1"/>
    </xf>
    <xf numFmtId="0" fontId="1" fillId="0" borderId="2" xfId="8" applyFont="1" applyBorder="1" applyAlignment="1">
      <alignment horizontal="center" vertical="center" wrapText="1"/>
    </xf>
    <xf numFmtId="3" fontId="1" fillId="3" borderId="0" xfId="8" applyNumberFormat="1" applyFont="1" applyFill="1" applyAlignment="1">
      <alignment horizontal="center" vertical="center" wrapText="1"/>
    </xf>
    <xf numFmtId="3" fontId="1" fillId="0" borderId="0" xfId="8" applyNumberFormat="1" applyFont="1" applyAlignment="1">
      <alignment horizontal="center" vertical="center"/>
    </xf>
    <xf numFmtId="1" fontId="9" fillId="3" borderId="0" xfId="8" applyNumberFormat="1" applyFont="1" applyFill="1" applyAlignment="1">
      <alignment horizontal="center" vertical="center" wrapText="1"/>
    </xf>
    <xf numFmtId="1" fontId="9" fillId="3" borderId="2" xfId="8" applyNumberFormat="1" applyFont="1" applyFill="1" applyBorder="1" applyAlignment="1">
      <alignment horizontal="center" vertical="center" wrapText="1"/>
    </xf>
    <xf numFmtId="1" fontId="9" fillId="0" borderId="0" xfId="8" applyNumberFormat="1" applyFont="1" applyAlignment="1">
      <alignment horizontal="center" vertical="center" wrapText="1"/>
    </xf>
    <xf numFmtId="1" fontId="9" fillId="0" borderId="2" xfId="8" applyNumberFormat="1" applyFont="1" applyBorder="1" applyAlignment="1">
      <alignment horizontal="center" vertical="center" wrapText="1"/>
    </xf>
    <xf numFmtId="3" fontId="1" fillId="0" borderId="2" xfId="8" applyNumberFormat="1" applyFont="1" applyBorder="1" applyAlignment="1">
      <alignment horizontal="center" vertical="center" wrapText="1"/>
    </xf>
    <xf numFmtId="167" fontId="1" fillId="0" borderId="0" xfId="8" applyNumberFormat="1" applyFont="1" applyAlignment="1">
      <alignment horizontal="center" vertical="center" wrapText="1"/>
    </xf>
    <xf numFmtId="0" fontId="3" fillId="0" borderId="0" xfId="1" applyAlignment="1">
      <alignment horizontal="left" vertical="top" wrapText="1"/>
    </xf>
    <xf numFmtId="0" fontId="1" fillId="0" borderId="0" xfId="1" applyFont="1" applyAlignment="1">
      <alignment horizontal="left" vertical="top" wrapText="1"/>
    </xf>
    <xf numFmtId="0" fontId="3" fillId="2" borderId="19" xfId="1" applyFill="1" applyBorder="1" applyAlignment="1">
      <alignment horizontal="center"/>
    </xf>
    <xf numFmtId="0" fontId="3" fillId="2" borderId="5" xfId="1" applyFill="1" applyBorder="1" applyAlignment="1">
      <alignment horizontal="center"/>
    </xf>
    <xf numFmtId="0" fontId="3" fillId="2" borderId="8" xfId="1" applyFill="1" applyBorder="1" applyAlignment="1">
      <alignment horizontal="center"/>
    </xf>
    <xf numFmtId="0" fontId="3" fillId="2" borderId="18" xfId="1" applyFill="1" applyBorder="1" applyAlignment="1">
      <alignment horizontal="center"/>
    </xf>
    <xf numFmtId="0" fontId="3" fillId="2" borderId="10" xfId="1" applyFill="1" applyBorder="1" applyAlignment="1">
      <alignment horizontal="center"/>
    </xf>
    <xf numFmtId="0" fontId="3" fillId="2" borderId="6" xfId="1" applyFill="1" applyBorder="1" applyAlignment="1">
      <alignment horizontal="center"/>
    </xf>
    <xf numFmtId="0" fontId="3" fillId="2" borderId="31" xfId="1" applyFill="1" applyBorder="1" applyAlignment="1">
      <alignment horizontal="center"/>
    </xf>
    <xf numFmtId="0" fontId="3" fillId="2" borderId="30" xfId="1" applyFill="1" applyBorder="1" applyAlignment="1">
      <alignment horizontal="center"/>
    </xf>
    <xf numFmtId="0" fontId="3" fillId="2" borderId="29" xfId="1" applyFill="1" applyBorder="1" applyAlignment="1">
      <alignment horizontal="center"/>
    </xf>
    <xf numFmtId="0" fontId="11" fillId="0" borderId="0" xfId="1" applyFont="1" applyAlignment="1">
      <alignment horizontal="center"/>
    </xf>
    <xf numFmtId="0" fontId="1" fillId="0" borderId="0" xfId="1" applyFont="1" applyAlignment="1">
      <alignment horizontal="left" wrapText="1"/>
    </xf>
    <xf numFmtId="0" fontId="3" fillId="0" borderId="0" xfId="1" applyAlignment="1">
      <alignment horizontal="left" wrapText="1"/>
    </xf>
    <xf numFmtId="0" fontId="11" fillId="0" borderId="11" xfId="4" applyFont="1" applyBorder="1" applyAlignment="1">
      <alignment horizontal="center" vertical="center" wrapText="1"/>
    </xf>
    <xf numFmtId="0" fontId="11" fillId="0" borderId="0" xfId="4" applyFont="1" applyAlignment="1">
      <alignment horizontal="center" vertical="center" wrapText="1"/>
    </xf>
    <xf numFmtId="0" fontId="11" fillId="0" borderId="15" xfId="4" applyFont="1" applyBorder="1" applyAlignment="1">
      <alignment horizontal="center" vertical="center" wrapText="1"/>
    </xf>
    <xf numFmtId="0" fontId="11" fillId="0" borderId="11" xfId="5" applyFont="1" applyBorder="1" applyAlignment="1">
      <alignment horizontal="center" vertical="center"/>
    </xf>
    <xf numFmtId="0" fontId="11" fillId="0" borderId="0" xfId="5" applyFont="1" applyAlignment="1">
      <alignment horizontal="center" vertical="center"/>
    </xf>
    <xf numFmtId="0" fontId="2" fillId="0" borderId="0" xfId="1" applyFont="1" applyAlignment="1">
      <alignment horizontal="center"/>
    </xf>
    <xf numFmtId="0" fontId="11" fillId="0" borderId="11" xfId="1" applyFont="1" applyBorder="1" applyAlignment="1">
      <alignment horizontal="center"/>
    </xf>
    <xf numFmtId="0" fontId="3" fillId="2" borderId="0" xfId="1" applyFill="1" applyAlignment="1">
      <alignment horizontal="left" vertical="top" wrapText="1"/>
    </xf>
    <xf numFmtId="0" fontId="3" fillId="2" borderId="21" xfId="1" applyFill="1" applyBorder="1" applyAlignment="1">
      <alignment horizontal="center"/>
    </xf>
    <xf numFmtId="0" fontId="3" fillId="2" borderId="20" xfId="1" applyFill="1" applyBorder="1" applyAlignment="1">
      <alignment horizontal="center"/>
    </xf>
    <xf numFmtId="167" fontId="3" fillId="2" borderId="21" xfId="1" applyNumberFormat="1" applyFill="1" applyBorder="1" applyAlignment="1">
      <alignment horizontal="center"/>
    </xf>
    <xf numFmtId="0" fontId="3" fillId="2" borderId="11" xfId="1" applyFill="1" applyBorder="1" applyAlignment="1">
      <alignment horizontal="center"/>
    </xf>
    <xf numFmtId="0" fontId="3" fillId="2" borderId="2" xfId="1" applyFill="1" applyBorder="1" applyAlignment="1">
      <alignment horizontal="center"/>
    </xf>
    <xf numFmtId="167" fontId="3" fillId="2" borderId="17" xfId="1" applyNumberFormat="1" applyFill="1" applyBorder="1" applyAlignment="1">
      <alignment horizontal="center"/>
    </xf>
    <xf numFmtId="0" fontId="16" fillId="0" borderId="0" xfId="1" applyFont="1" applyAlignment="1">
      <alignment horizontal="center"/>
    </xf>
    <xf numFmtId="0" fontId="1" fillId="0" borderId="14" xfId="1" applyFont="1" applyBorder="1" applyAlignment="1">
      <alignment horizontal="center"/>
    </xf>
    <xf numFmtId="0" fontId="1" fillId="0" borderId="13" xfId="1" applyFont="1" applyBorder="1" applyAlignment="1">
      <alignment horizontal="center"/>
    </xf>
    <xf numFmtId="0" fontId="5" fillId="0" borderId="0" xfId="1" applyFont="1" applyAlignment="1">
      <alignment horizontal="left" wrapText="1"/>
    </xf>
    <xf numFmtId="0" fontId="3" fillId="2" borderId="21" xfId="1" applyFill="1" applyBorder="1" applyAlignment="1">
      <alignment horizontal="center" wrapText="1"/>
    </xf>
    <xf numFmtId="0" fontId="3" fillId="2" borderId="21" xfId="1" applyFill="1" applyBorder="1" applyAlignment="1">
      <alignment horizontal="center" vertical="center"/>
    </xf>
    <xf numFmtId="0" fontId="3" fillId="2" borderId="20" xfId="1" applyFill="1" applyBorder="1" applyAlignment="1">
      <alignment horizontal="center" wrapText="1"/>
    </xf>
    <xf numFmtId="0" fontId="3" fillId="2" borderId="17" xfId="1" applyFill="1" applyBorder="1" applyAlignment="1">
      <alignment horizontal="center" wrapText="1"/>
    </xf>
    <xf numFmtId="0" fontId="3" fillId="2" borderId="11" xfId="1" applyFill="1" applyBorder="1" applyAlignment="1">
      <alignment horizontal="left"/>
    </xf>
    <xf numFmtId="0" fontId="3" fillId="2" borderId="0" xfId="1" applyFill="1" applyAlignment="1">
      <alignment horizontal="left"/>
    </xf>
    <xf numFmtId="0" fontId="3" fillId="2" borderId="21" xfId="1" applyFill="1" applyBorder="1" applyAlignment="1">
      <alignment horizontal="left"/>
    </xf>
    <xf numFmtId="0" fontId="3" fillId="2" borderId="20" xfId="1" applyFill="1" applyBorder="1" applyAlignment="1">
      <alignment horizontal="left"/>
    </xf>
    <xf numFmtId="3" fontId="3" fillId="0" borderId="0" xfId="1" applyNumberFormat="1" applyAlignment="1">
      <alignment horizontal="left" vertical="top" wrapText="1"/>
    </xf>
    <xf numFmtId="0" fontId="1" fillId="0" borderId="0" xfId="1" applyFont="1" applyAlignment="1">
      <alignment horizontal="center"/>
    </xf>
    <xf numFmtId="0" fontId="3" fillId="2" borderId="19" xfId="1" applyFill="1" applyBorder="1" applyAlignment="1">
      <alignment horizontal="left"/>
    </xf>
    <xf numFmtId="0" fontId="3" fillId="2" borderId="18" xfId="1" applyFill="1" applyBorder="1" applyAlignment="1">
      <alignment horizontal="left"/>
    </xf>
    <xf numFmtId="0" fontId="3" fillId="2" borderId="5" xfId="1" applyFill="1" applyBorder="1" applyAlignment="1">
      <alignment horizontal="left"/>
    </xf>
    <xf numFmtId="0" fontId="3" fillId="2" borderId="6" xfId="1" applyFill="1" applyBorder="1" applyAlignment="1">
      <alignment horizontal="left"/>
    </xf>
    <xf numFmtId="3" fontId="3" fillId="2" borderId="8" xfId="1" applyNumberFormat="1" applyFill="1" applyBorder="1" applyAlignment="1">
      <alignment horizontal="center"/>
    </xf>
    <xf numFmtId="3" fontId="3" fillId="2" borderId="19" xfId="1" applyNumberFormat="1" applyFill="1" applyBorder="1" applyAlignment="1">
      <alignment horizontal="center"/>
    </xf>
    <xf numFmtId="3" fontId="3" fillId="2" borderId="18" xfId="1" applyNumberFormat="1" applyFill="1" applyBorder="1" applyAlignment="1">
      <alignment horizontal="center"/>
    </xf>
    <xf numFmtId="0" fontId="3" fillId="2" borderId="5" xfId="1" quotePrefix="1" applyFill="1" applyBorder="1" applyAlignment="1">
      <alignment horizontal="left"/>
    </xf>
    <xf numFmtId="0" fontId="11" fillId="0" borderId="0" xfId="8" applyFont="1" applyAlignment="1">
      <alignment horizontal="center" vertical="center" wrapText="1"/>
    </xf>
    <xf numFmtId="3" fontId="3" fillId="0" borderId="12" xfId="1" applyNumberFormat="1" applyBorder="1" applyAlignment="1">
      <alignment horizontal="center"/>
    </xf>
    <xf numFmtId="3" fontId="3" fillId="0" borderId="0" xfId="1" applyNumberFormat="1" applyAlignment="1">
      <alignment horizontal="center"/>
    </xf>
    <xf numFmtId="0" fontId="3" fillId="0" borderId="0" xfId="1" applyAlignment="1">
      <alignment horizontal="center"/>
    </xf>
    <xf numFmtId="166" fontId="3" fillId="0" borderId="0" xfId="1" applyNumberFormat="1" applyAlignment="1">
      <alignment horizontal="center"/>
    </xf>
    <xf numFmtId="166" fontId="0" fillId="0" borderId="0" xfId="2" applyNumberFormat="1" applyFont="1" applyBorder="1" applyAlignment="1">
      <alignment horizontal="center"/>
    </xf>
    <xf numFmtId="167" fontId="3" fillId="0" borderId="2" xfId="1" applyNumberFormat="1" applyBorder="1" applyAlignment="1">
      <alignment horizontal="center"/>
    </xf>
    <xf numFmtId="167" fontId="3" fillId="0" borderId="0" xfId="1" applyNumberFormat="1" applyAlignment="1">
      <alignment horizontal="center"/>
    </xf>
    <xf numFmtId="0" fontId="3" fillId="0" borderId="2" xfId="1" applyBorder="1" applyAlignment="1">
      <alignment horizontal="center"/>
    </xf>
    <xf numFmtId="0" fontId="3" fillId="0" borderId="6" xfId="1" applyBorder="1" applyAlignment="1">
      <alignment horizontal="center"/>
    </xf>
    <xf numFmtId="0" fontId="3" fillId="0" borderId="2" xfId="1" applyBorder="1"/>
    <xf numFmtId="0" fontId="20" fillId="0" borderId="0" xfId="1" applyFont="1"/>
    <xf numFmtId="0" fontId="3" fillId="2" borderId="0" xfId="1" quotePrefix="1" applyFill="1" applyAlignment="1">
      <alignment horizontal="center"/>
    </xf>
    <xf numFmtId="0" fontId="3" fillId="2" borderId="0" xfId="1" quotePrefix="1" applyFill="1" applyAlignment="1">
      <alignment horizontal="left" vertical="top" wrapText="1"/>
    </xf>
    <xf numFmtId="0" fontId="3" fillId="0" borderId="0" xfId="1" applyAlignment="1">
      <alignment vertical="top" wrapText="1"/>
    </xf>
    <xf numFmtId="0" fontId="3" fillId="2" borderId="0" xfId="1" quotePrefix="1" applyFill="1" applyAlignment="1">
      <alignment horizontal="left"/>
    </xf>
    <xf numFmtId="167" fontId="3" fillId="2" borderId="22" xfId="1" applyNumberFormat="1" applyFill="1" applyBorder="1" applyAlignment="1">
      <alignment horizontal="center"/>
    </xf>
    <xf numFmtId="167" fontId="3" fillId="2" borderId="22" xfId="1" applyNumberFormat="1" applyFill="1" applyBorder="1" applyAlignment="1">
      <alignment horizontal="center"/>
    </xf>
    <xf numFmtId="167" fontId="3" fillId="2" borderId="20" xfId="1" applyNumberFormat="1" applyFill="1" applyBorder="1" applyAlignment="1">
      <alignment horizontal="center"/>
    </xf>
    <xf numFmtId="167" fontId="3" fillId="2" borderId="20" xfId="1" applyNumberFormat="1" applyFill="1" applyBorder="1" applyAlignment="1">
      <alignment horizontal="center"/>
    </xf>
    <xf numFmtId="0" fontId="3" fillId="2" borderId="0" xfId="1" applyFill="1" applyAlignment="1">
      <alignment horizontal="center"/>
    </xf>
    <xf numFmtId="0" fontId="3" fillId="2" borderId="17" xfId="1" applyFill="1" applyBorder="1" applyAlignment="1">
      <alignment horizontal="center"/>
    </xf>
    <xf numFmtId="0" fontId="3" fillId="2" borderId="22" xfId="1" applyFill="1" applyBorder="1" applyAlignment="1">
      <alignment horizontal="center"/>
    </xf>
    <xf numFmtId="0" fontId="3" fillId="2" borderId="22" xfId="1" applyFill="1" applyBorder="1"/>
  </cellXfs>
  <cellStyles count="9">
    <cellStyle name="Comma 2" xfId="6" xr:uid="{2831CFB4-E0EA-1749-86E1-FCDD8C3CBF82}"/>
    <cellStyle name="Normal" xfId="0" builtinId="0"/>
    <cellStyle name="Normal 2" xfId="1" xr:uid="{3FF0E4EE-E279-B043-A18C-2633DF906106}"/>
    <cellStyle name="Normal 2 2" xfId="4" xr:uid="{63398DB7-5970-C14E-A3E1-94BDDB7BEEFF}"/>
    <cellStyle name="Normal 2 2 2" xfId="8" xr:uid="{2F362A51-6B41-A947-B325-4476D860FF8C}"/>
    <cellStyle name="Normal 2 3" xfId="3" xr:uid="{B96BE92A-A325-AD42-BCC0-938F51138C11}"/>
    <cellStyle name="Normal 2 3 2" xfId="7" xr:uid="{82090696-F70A-124E-86A0-B353D54B616D}"/>
    <cellStyle name="Normal 3" xfId="5" xr:uid="{8390F7F2-E011-1D48-9704-882ABFF0C489}"/>
    <cellStyle name="Percent 2" xfId="2" xr:uid="{3BF909F2-6F15-DD44-94E0-B380D9BF3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226485</xdr:colOff>
      <xdr:row>37</xdr:row>
      <xdr:rowOff>78317</xdr:rowOff>
    </xdr:from>
    <xdr:to>
      <xdr:col>16</xdr:col>
      <xdr:colOff>520700</xdr:colOff>
      <xdr:row>38</xdr:row>
      <xdr:rowOff>155258</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C73155E-A674-8747-BAC5-9EEBB1FF096C}"/>
                </a:ext>
              </a:extLst>
            </xdr:cNvPr>
            <xdr:cNvSpPr txBox="1"/>
          </xdr:nvSpPr>
          <xdr:spPr>
            <a:xfrm>
              <a:off x="9446685" y="7596717"/>
              <a:ext cx="4421715" cy="2801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45720" tIns="45720" rIns="45720" bIns="45720" rtlCol="0" anchor="t">
              <a:no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𝑈𝑙𝑡𝑖𝑚𝑎𝑡𝑒</m:t>
                    </m:r>
                    <m:r>
                      <a:rPr lang="en-US" sz="1200" b="0" i="1">
                        <a:latin typeface="Cambria Math" panose="02040503050406030204" pitchFamily="18" charset="0"/>
                      </a:rPr>
                      <m:t> </m:t>
                    </m:r>
                    <m:r>
                      <a:rPr lang="en-US" sz="1200" b="0" i="1">
                        <a:latin typeface="Cambria Math" panose="02040503050406030204" pitchFamily="18" charset="0"/>
                      </a:rPr>
                      <m:t>𝐶𝑙𝑎𝑖𝑚𝑠</m:t>
                    </m:r>
                    <m:r>
                      <a:rPr lang="en-US" sz="1200" b="0" i="1">
                        <a:latin typeface="Cambria Math" panose="02040503050406030204" pitchFamily="18" charset="0"/>
                      </a:rPr>
                      <m:t>=</m:t>
                    </m:r>
                    <m:r>
                      <a:rPr lang="en-US" sz="1200" b="0" i="1">
                        <a:latin typeface="Cambria Math" panose="02040503050406030204" pitchFamily="18" charset="0"/>
                      </a:rPr>
                      <m:t>𝑈𝑙𝑡𝑖𝑚𝑎𝑡𝑒</m:t>
                    </m:r>
                    <m:r>
                      <a:rPr lang="en-US" sz="1200" b="0" i="1">
                        <a:latin typeface="Cambria Math" panose="02040503050406030204" pitchFamily="18" charset="0"/>
                      </a:rPr>
                      <m:t> </m:t>
                    </m:r>
                    <m:r>
                      <a:rPr lang="en-US" sz="1200" b="0" i="1">
                        <a:latin typeface="Cambria Math" panose="02040503050406030204" pitchFamily="18" charset="0"/>
                      </a:rPr>
                      <m:t>𝑆𝑒𝑣𝑒𝑟𝑖𝑡𝑦</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rPr>
                      <m:t>𝑈𝑙𝑡𝑖𝑚𝑎𝑡𝑒</m:t>
                    </m:r>
                    <m:r>
                      <a:rPr lang="en-US" sz="1200" b="0" i="1">
                        <a:latin typeface="Cambria Math" panose="02040503050406030204" pitchFamily="18" charset="0"/>
                      </a:rPr>
                      <m:t> </m:t>
                    </m:r>
                    <m:r>
                      <a:rPr lang="en-US" sz="1200" b="0" i="1">
                        <a:latin typeface="Cambria Math" panose="02040503050406030204" pitchFamily="18" charset="0"/>
                      </a:rPr>
                      <m:t>𝐶𝑙𝑎𝑖𝑚</m:t>
                    </m:r>
                    <m:r>
                      <a:rPr lang="en-US" sz="1200" b="0" i="1">
                        <a:latin typeface="Cambria Math" panose="02040503050406030204" pitchFamily="18" charset="0"/>
                      </a:rPr>
                      <m:t> </m:t>
                    </m:r>
                    <m:r>
                      <a:rPr lang="en-US" sz="1200" b="0" i="1">
                        <a:latin typeface="Cambria Math" panose="02040503050406030204" pitchFamily="18" charset="0"/>
                      </a:rPr>
                      <m:t>𝐶𝑜𝑢𝑛𝑡𝑠</m:t>
                    </m:r>
                  </m:oMath>
                </m:oMathPara>
              </a14:m>
              <a:endParaRPr lang="en-US" sz="1200"/>
            </a:p>
          </xdr:txBody>
        </xdr:sp>
      </mc:Choice>
      <mc:Fallback xmlns="">
        <xdr:sp macro="" textlink="">
          <xdr:nvSpPr>
            <xdr:cNvPr id="2" name="TextBox 1">
              <a:extLst>
                <a:ext uri="{FF2B5EF4-FFF2-40B4-BE49-F238E27FC236}">
                  <a16:creationId xmlns:a16="http://schemas.microsoft.com/office/drawing/2014/main" id="{BC73155E-A674-8747-BAC5-9EEBB1FF096C}"/>
                </a:ext>
              </a:extLst>
            </xdr:cNvPr>
            <xdr:cNvSpPr txBox="1"/>
          </xdr:nvSpPr>
          <xdr:spPr>
            <a:xfrm>
              <a:off x="9446685" y="7596717"/>
              <a:ext cx="4421715" cy="2801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45720" tIns="45720" rIns="45720" bIns="45720" rtlCol="0" anchor="t">
              <a:noAutofit/>
            </a:bodyPr>
            <a:lstStyle/>
            <a:p>
              <a:pPr/>
              <a:r>
                <a:rPr lang="en-US" sz="1200" b="0" i="0">
                  <a:latin typeface="Cambria Math" panose="02040503050406030204" pitchFamily="18" charset="0"/>
                </a:rPr>
                <a:t>𝑈𝑙𝑡𝑖𝑚𝑎𝑡𝑒 𝐶𝑙𝑎𝑖𝑚𝑠=𝑈𝑙𝑡𝑖𝑚𝑎𝑡𝑒 𝑆𝑒𝑣𝑒𝑟𝑖𝑡𝑦</a:t>
              </a:r>
              <a:r>
                <a:rPr lang="en-US"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𝑈𝑙𝑡𝑖𝑚𝑎𝑡𝑒 𝐶𝑙𝑎𝑖𝑚 𝐶𝑜𝑢𝑛𝑡𝑠</a:t>
              </a:r>
              <a:endParaRPr lang="en-US" sz="1200"/>
            </a:p>
          </xdr:txBody>
        </xdr:sp>
      </mc:Fallback>
    </mc:AlternateContent>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BE5E-3614-4A4F-BE78-A3CBAE4A4ADE}">
  <dimension ref="A1:T55"/>
  <sheetViews>
    <sheetView tabSelected="1" workbookViewId="0">
      <selection activeCell="B1" sqref="B1"/>
    </sheetView>
  </sheetViews>
  <sheetFormatPr baseColWidth="10" defaultColWidth="11" defaultRowHeight="16" outlineLevelCol="1" x14ac:dyDescent="0.2"/>
  <cols>
    <col min="1" max="1" width="4" style="2" customWidth="1"/>
    <col min="2" max="11" width="10.83203125" style="1" customWidth="1"/>
    <col min="12" max="12" width="11" style="1"/>
    <col min="13" max="13" width="10.83203125" style="1" hidden="1" customWidth="1" outlineLevel="1"/>
    <col min="14" max="14" width="12.1640625" style="1" hidden="1" customWidth="1" outlineLevel="1"/>
    <col min="15" max="15" width="11.83203125" style="1" hidden="1" customWidth="1" outlineLevel="1"/>
    <col min="16" max="19" width="10.83203125" style="1" hidden="1" customWidth="1" outlineLevel="1"/>
    <col min="20" max="20" width="11" style="1" collapsed="1"/>
    <col min="21" max="16384" width="11" style="1"/>
  </cols>
  <sheetData>
    <row r="1" spans="1:20" x14ac:dyDescent="0.2">
      <c r="A1" s="71"/>
      <c r="B1" s="70" t="s">
        <v>70</v>
      </c>
      <c r="C1" s="69" t="s">
        <v>392</v>
      </c>
      <c r="D1" s="69" t="s">
        <v>68</v>
      </c>
      <c r="E1" s="69" t="s">
        <v>360</v>
      </c>
      <c r="F1" s="68"/>
      <c r="G1" s="68"/>
      <c r="H1" s="68"/>
      <c r="I1" s="68"/>
      <c r="J1" s="68"/>
      <c r="K1" s="67"/>
      <c r="L1" s="64" t="s">
        <v>66</v>
      </c>
    </row>
    <row r="2" spans="1:20" x14ac:dyDescent="0.2">
      <c r="A2" s="38"/>
      <c r="B2" s="66" t="s">
        <v>65</v>
      </c>
      <c r="C2" s="65">
        <v>3.25</v>
      </c>
      <c r="D2" s="37"/>
      <c r="E2" s="37"/>
      <c r="F2" s="37"/>
      <c r="G2" s="37"/>
      <c r="H2" s="37"/>
      <c r="I2" s="37"/>
      <c r="J2" s="37"/>
      <c r="K2" s="36"/>
    </row>
    <row r="3" spans="1:20" x14ac:dyDescent="0.2">
      <c r="A3" s="38"/>
      <c r="B3" s="37"/>
      <c r="C3" s="37"/>
      <c r="D3" s="37"/>
      <c r="E3" s="37"/>
      <c r="F3" s="37"/>
      <c r="G3" s="37"/>
      <c r="H3" s="37"/>
      <c r="I3" s="37"/>
      <c r="J3" s="37"/>
      <c r="K3" s="36"/>
      <c r="M3" s="255" t="s">
        <v>391</v>
      </c>
      <c r="N3" s="255"/>
      <c r="O3" s="255"/>
      <c r="P3" s="255"/>
      <c r="Q3" s="255"/>
      <c r="R3" s="255"/>
      <c r="S3" s="255"/>
    </row>
    <row r="4" spans="1:20" x14ac:dyDescent="0.2">
      <c r="A4" s="38"/>
      <c r="B4" s="37"/>
      <c r="C4" s="37" t="s">
        <v>390</v>
      </c>
      <c r="D4" s="37"/>
      <c r="E4" s="37"/>
      <c r="F4" s="37"/>
      <c r="G4" s="37"/>
      <c r="H4" s="37"/>
      <c r="I4" s="37"/>
      <c r="J4" s="37"/>
      <c r="K4" s="36"/>
      <c r="M4" s="255"/>
      <c r="N4" s="255"/>
      <c r="O4" s="255"/>
      <c r="P4" s="255"/>
      <c r="Q4" s="255"/>
      <c r="R4" s="255"/>
      <c r="S4" s="255"/>
    </row>
    <row r="5" spans="1:20" x14ac:dyDescent="0.2">
      <c r="A5" s="38"/>
      <c r="B5" s="37"/>
      <c r="C5" s="37"/>
      <c r="D5" s="37"/>
      <c r="E5" s="37"/>
      <c r="F5" s="37"/>
      <c r="G5" s="37"/>
      <c r="H5" s="37"/>
      <c r="I5" s="37"/>
      <c r="J5" s="37"/>
      <c r="K5" s="36"/>
    </row>
    <row r="6" spans="1:20" ht="17.25" customHeight="1" x14ac:dyDescent="0.2">
      <c r="A6" s="38"/>
      <c r="B6" s="37"/>
      <c r="C6" s="62"/>
      <c r="D6" s="257" t="s">
        <v>389</v>
      </c>
      <c r="E6" s="257"/>
      <c r="F6" s="62"/>
      <c r="G6" s="37"/>
      <c r="H6" s="37"/>
      <c r="I6" s="37"/>
      <c r="J6" s="37"/>
      <c r="K6" s="36"/>
      <c r="M6" s="64"/>
    </row>
    <row r="7" spans="1:20" x14ac:dyDescent="0.2">
      <c r="A7" s="38"/>
      <c r="B7" s="37"/>
      <c r="C7" s="58" t="s">
        <v>21</v>
      </c>
      <c r="D7" s="258" t="s">
        <v>388</v>
      </c>
      <c r="E7" s="258"/>
      <c r="F7" s="58" t="s">
        <v>186</v>
      </c>
      <c r="G7" s="37"/>
      <c r="H7" s="37"/>
      <c r="I7" s="37"/>
      <c r="J7" s="37"/>
      <c r="K7" s="36"/>
      <c r="M7" s="7" t="s">
        <v>387</v>
      </c>
      <c r="N7" s="5"/>
      <c r="O7" s="5"/>
      <c r="P7" s="5"/>
      <c r="Q7" s="5"/>
      <c r="R7" s="5"/>
      <c r="S7" s="5"/>
      <c r="T7" s="5"/>
    </row>
    <row r="8" spans="1:20" x14ac:dyDescent="0.2">
      <c r="A8" s="38"/>
      <c r="B8" s="37"/>
      <c r="C8" s="42" t="s">
        <v>149</v>
      </c>
      <c r="D8" s="183" t="s">
        <v>59</v>
      </c>
      <c r="E8" s="138" t="s">
        <v>380</v>
      </c>
      <c r="F8" s="42" t="s">
        <v>57</v>
      </c>
      <c r="G8" s="37"/>
      <c r="H8" s="37"/>
      <c r="I8" s="37"/>
      <c r="J8" s="37"/>
      <c r="K8" s="36"/>
      <c r="M8" s="5"/>
      <c r="N8" s="5"/>
      <c r="O8" s="5"/>
      <c r="P8" s="5"/>
      <c r="Q8" s="5"/>
      <c r="R8" s="5"/>
      <c r="S8" s="5"/>
      <c r="T8" s="5"/>
    </row>
    <row r="9" spans="1:20" x14ac:dyDescent="0.2">
      <c r="A9" s="38"/>
      <c r="B9" s="37"/>
      <c r="C9" s="62">
        <v>2010</v>
      </c>
      <c r="D9" s="202">
        <v>1549</v>
      </c>
      <c r="E9" s="201">
        <v>22418</v>
      </c>
      <c r="F9" s="200">
        <v>63438</v>
      </c>
      <c r="G9" s="37"/>
      <c r="H9" s="37"/>
      <c r="I9" s="37"/>
      <c r="J9" s="37"/>
      <c r="K9" s="36"/>
      <c r="M9" s="24" t="s">
        <v>21</v>
      </c>
      <c r="N9" s="31" t="s">
        <v>18</v>
      </c>
      <c r="O9" s="23" t="s">
        <v>31</v>
      </c>
      <c r="P9" s="24" t="s">
        <v>30</v>
      </c>
      <c r="Q9" s="23" t="s">
        <v>61</v>
      </c>
      <c r="R9" s="5"/>
      <c r="S9" s="5"/>
      <c r="T9" s="5"/>
    </row>
    <row r="10" spans="1:20" ht="17" x14ac:dyDescent="0.2">
      <c r="A10" s="38"/>
      <c r="B10" s="37"/>
      <c r="C10" s="58">
        <v>2011</v>
      </c>
      <c r="D10" s="199">
        <v>1455</v>
      </c>
      <c r="E10" s="198">
        <v>18730</v>
      </c>
      <c r="F10" s="197">
        <v>62893</v>
      </c>
      <c r="G10" s="37"/>
      <c r="H10" s="37"/>
      <c r="I10" s="37"/>
      <c r="J10" s="37"/>
      <c r="K10" s="36"/>
      <c r="M10" s="16" t="s">
        <v>17</v>
      </c>
      <c r="N10" s="21" t="s">
        <v>59</v>
      </c>
      <c r="O10" s="21" t="s">
        <v>386</v>
      </c>
      <c r="P10" s="16" t="s">
        <v>26</v>
      </c>
      <c r="Q10" s="21" t="s">
        <v>58</v>
      </c>
      <c r="R10" s="5"/>
      <c r="S10" s="5"/>
      <c r="T10" s="5"/>
    </row>
    <row r="11" spans="1:20" x14ac:dyDescent="0.2">
      <c r="A11" s="38"/>
      <c r="B11" s="37"/>
      <c r="C11" s="42">
        <v>2012</v>
      </c>
      <c r="D11" s="196">
        <v>1023</v>
      </c>
      <c r="E11" s="195">
        <v>12501</v>
      </c>
      <c r="F11" s="194">
        <v>67005</v>
      </c>
      <c r="G11" s="37"/>
      <c r="H11" s="37"/>
      <c r="I11" s="37"/>
      <c r="J11" s="37"/>
      <c r="K11" s="36"/>
      <c r="M11" s="11">
        <f>C9</f>
        <v>2010</v>
      </c>
      <c r="N11" s="9">
        <f>D9/D18</f>
        <v>1580.6122448979593</v>
      </c>
      <c r="O11" s="29">
        <f>2012-M11</f>
        <v>2</v>
      </c>
      <c r="P11" s="56">
        <f>(1+$E$22)^O11</f>
        <v>0.96039999999999992</v>
      </c>
      <c r="Q11" s="9">
        <f>N11*P11</f>
        <v>1518.02</v>
      </c>
      <c r="R11" s="5"/>
      <c r="S11" s="5"/>
      <c r="T11" s="5"/>
    </row>
    <row r="12" spans="1:20" x14ac:dyDescent="0.2">
      <c r="A12" s="38"/>
      <c r="B12" s="40"/>
      <c r="C12" s="37"/>
      <c r="D12" s="37"/>
      <c r="E12" s="37"/>
      <c r="F12" s="37"/>
      <c r="G12" s="37"/>
      <c r="H12" s="37"/>
      <c r="I12" s="37"/>
      <c r="J12" s="37"/>
      <c r="K12" s="36"/>
      <c r="M12" s="11">
        <f>C10</f>
        <v>2011</v>
      </c>
      <c r="N12" s="9">
        <f>D10/D17</f>
        <v>1531.578947368421</v>
      </c>
      <c r="O12" s="29">
        <f>2012-M12</f>
        <v>1</v>
      </c>
      <c r="P12" s="56">
        <f>(1+$E$22)^O12</f>
        <v>0.98</v>
      </c>
      <c r="Q12" s="9">
        <f>N12*P12</f>
        <v>1500.9473684210525</v>
      </c>
      <c r="R12" s="5"/>
      <c r="S12" s="5"/>
      <c r="T12" s="5"/>
    </row>
    <row r="13" spans="1:20" x14ac:dyDescent="0.2">
      <c r="A13" s="38"/>
      <c r="B13" s="40"/>
      <c r="C13" s="63"/>
      <c r="D13" s="259" t="s">
        <v>385</v>
      </c>
      <c r="E13" s="260"/>
      <c r="F13" s="37"/>
      <c r="G13" s="37"/>
      <c r="H13" s="37"/>
      <c r="I13" s="37"/>
      <c r="J13" s="37"/>
      <c r="K13" s="36"/>
      <c r="M13" s="5"/>
      <c r="N13" s="5"/>
      <c r="O13" s="5"/>
      <c r="P13" s="5"/>
      <c r="Q13" s="5"/>
      <c r="R13" s="5"/>
      <c r="S13" s="5"/>
      <c r="T13" s="5"/>
    </row>
    <row r="14" spans="1:20" x14ac:dyDescent="0.2">
      <c r="A14" s="38"/>
      <c r="B14" s="40"/>
      <c r="C14" s="59" t="s">
        <v>384</v>
      </c>
      <c r="D14" s="261" t="s">
        <v>383</v>
      </c>
      <c r="E14" s="262"/>
      <c r="F14" s="37"/>
      <c r="G14" s="37"/>
      <c r="H14" s="37"/>
      <c r="I14" s="37"/>
      <c r="J14" s="37"/>
      <c r="K14" s="36"/>
      <c r="M14" s="24" t="s">
        <v>21</v>
      </c>
      <c r="N14" s="31"/>
      <c r="O14" s="23" t="s">
        <v>186</v>
      </c>
      <c r="P14" s="24" t="s">
        <v>61</v>
      </c>
      <c r="Q14" s="23" t="s">
        <v>28</v>
      </c>
      <c r="R14" s="5"/>
      <c r="S14" s="5"/>
      <c r="T14" s="5"/>
    </row>
    <row r="15" spans="1:20" ht="17" x14ac:dyDescent="0.2">
      <c r="A15" s="38"/>
      <c r="B15" s="40"/>
      <c r="C15" s="42" t="s">
        <v>382</v>
      </c>
      <c r="D15" s="183" t="s">
        <v>381</v>
      </c>
      <c r="E15" s="54" t="s">
        <v>380</v>
      </c>
      <c r="F15" s="37"/>
      <c r="G15" s="37"/>
      <c r="H15" s="37"/>
      <c r="I15" s="37"/>
      <c r="J15" s="37"/>
      <c r="K15" s="36"/>
      <c r="M15" s="16" t="s">
        <v>17</v>
      </c>
      <c r="N15" s="21" t="s">
        <v>186</v>
      </c>
      <c r="O15" s="21" t="s">
        <v>379</v>
      </c>
      <c r="P15" s="16" t="s">
        <v>186</v>
      </c>
      <c r="Q15" s="30" t="s">
        <v>15</v>
      </c>
      <c r="R15" s="5"/>
      <c r="S15" s="5"/>
      <c r="T15" s="5"/>
    </row>
    <row r="16" spans="1:20" x14ac:dyDescent="0.2">
      <c r="A16" s="38"/>
      <c r="B16" s="40"/>
      <c r="C16" s="62">
        <v>12</v>
      </c>
      <c r="D16" s="193">
        <v>0.85</v>
      </c>
      <c r="E16" s="192">
        <v>0.43</v>
      </c>
      <c r="F16" s="37"/>
      <c r="G16" s="37"/>
      <c r="H16" s="37"/>
      <c r="I16" s="37"/>
      <c r="J16" s="37"/>
      <c r="K16" s="36"/>
      <c r="M16" s="11">
        <f>M11</f>
        <v>2010</v>
      </c>
      <c r="N16" s="9">
        <f>F9</f>
        <v>63438</v>
      </c>
      <c r="O16" s="28">
        <f>(1+$E$24)^O11</f>
        <v>1.0816000000000001</v>
      </c>
      <c r="P16" s="47">
        <f>N16*O16</f>
        <v>68614.540800000002</v>
      </c>
      <c r="Q16" s="44">
        <f>Q11/P16</f>
        <v>2.2123881939613593E-2</v>
      </c>
      <c r="R16" s="5"/>
      <c r="S16" s="5"/>
      <c r="T16" s="5"/>
    </row>
    <row r="17" spans="1:20" x14ac:dyDescent="0.2">
      <c r="A17" s="38"/>
      <c r="B17" s="40"/>
      <c r="C17" s="58">
        <v>24</v>
      </c>
      <c r="D17" s="191">
        <v>0.95</v>
      </c>
      <c r="E17" s="190">
        <v>0.67</v>
      </c>
      <c r="F17" s="37"/>
      <c r="G17" s="37"/>
      <c r="H17" s="37"/>
      <c r="I17" s="37"/>
      <c r="J17" s="37"/>
      <c r="K17" s="36"/>
      <c r="M17" s="11">
        <f>M12</f>
        <v>2011</v>
      </c>
      <c r="N17" s="9">
        <f>F10</f>
        <v>62893</v>
      </c>
      <c r="O17" s="28">
        <f>(1+$E$24)^O12</f>
        <v>1.04</v>
      </c>
      <c r="P17" s="45">
        <f>N17*O17</f>
        <v>65408.72</v>
      </c>
      <c r="Q17" s="44">
        <f>Q12/P17</f>
        <v>2.2947205944728051E-2</v>
      </c>
      <c r="R17" s="5"/>
      <c r="S17" s="5"/>
      <c r="T17" s="5"/>
    </row>
    <row r="18" spans="1:20" x14ac:dyDescent="0.2">
      <c r="A18" s="38"/>
      <c r="B18" s="40"/>
      <c r="C18" s="42">
        <v>36</v>
      </c>
      <c r="D18" s="189">
        <v>0.98</v>
      </c>
      <c r="E18" s="188">
        <v>0.83</v>
      </c>
      <c r="F18" s="37"/>
      <c r="G18" s="37"/>
      <c r="H18" s="37"/>
      <c r="I18" s="37"/>
      <c r="J18" s="37"/>
      <c r="K18" s="36"/>
      <c r="M18" s="5"/>
      <c r="N18" s="5"/>
      <c r="T18" s="5"/>
    </row>
    <row r="19" spans="1:20" x14ac:dyDescent="0.2">
      <c r="A19" s="38"/>
      <c r="B19" s="40"/>
      <c r="C19" s="37"/>
      <c r="D19" s="37"/>
      <c r="E19" s="37"/>
      <c r="F19" s="37"/>
      <c r="G19" s="37"/>
      <c r="H19" s="37"/>
      <c r="I19" s="37"/>
      <c r="J19" s="37"/>
      <c r="K19" s="36"/>
      <c r="M19" s="5"/>
      <c r="N19" s="5"/>
      <c r="O19" s="5" t="s">
        <v>378</v>
      </c>
      <c r="P19" s="5"/>
      <c r="Q19" s="41">
        <f>AVERAGE(Q16:Q17)</f>
        <v>2.2535543942170822E-2</v>
      </c>
      <c r="R19" s="5" t="s">
        <v>377</v>
      </c>
      <c r="S19" s="5"/>
      <c r="T19" s="5"/>
    </row>
    <row r="20" spans="1:20" x14ac:dyDescent="0.2">
      <c r="A20" s="38"/>
      <c r="B20" s="40"/>
      <c r="C20" s="37" t="s">
        <v>376</v>
      </c>
      <c r="D20" s="37"/>
      <c r="E20" s="37"/>
      <c r="F20" s="37"/>
      <c r="G20" s="37"/>
      <c r="H20" s="37"/>
      <c r="I20" s="37"/>
      <c r="J20" s="37"/>
      <c r="K20" s="36"/>
      <c r="M20" s="5"/>
      <c r="N20" s="5"/>
      <c r="O20" s="5"/>
      <c r="P20" s="5"/>
      <c r="Q20" s="5"/>
      <c r="R20" s="5"/>
      <c r="S20" s="5"/>
      <c r="T20" s="5"/>
    </row>
    <row r="21" spans="1:20" x14ac:dyDescent="0.2">
      <c r="A21" s="38"/>
      <c r="B21" s="40"/>
      <c r="C21" s="37" t="s">
        <v>375</v>
      </c>
      <c r="D21" s="37"/>
      <c r="E21" s="37"/>
      <c r="F21" s="37"/>
      <c r="G21" s="37"/>
      <c r="H21" s="37"/>
      <c r="I21" s="37"/>
      <c r="J21" s="37"/>
      <c r="K21" s="36"/>
      <c r="M21" s="5"/>
      <c r="N21" s="5"/>
      <c r="O21" s="5"/>
      <c r="P21" s="5"/>
      <c r="Q21" s="5"/>
      <c r="R21" s="5"/>
      <c r="S21" s="5"/>
      <c r="T21" s="5"/>
    </row>
    <row r="22" spans="1:20" x14ac:dyDescent="0.2">
      <c r="A22" s="38"/>
      <c r="B22" s="40"/>
      <c r="C22" s="37" t="s">
        <v>374</v>
      </c>
      <c r="D22" s="37"/>
      <c r="E22" s="113">
        <v>-0.02</v>
      </c>
      <c r="F22" s="37"/>
      <c r="G22" s="37"/>
      <c r="H22" s="37"/>
      <c r="I22" s="37"/>
      <c r="J22" s="37"/>
      <c r="K22" s="36"/>
      <c r="M22" s="5"/>
      <c r="N22" s="5"/>
      <c r="O22" s="5"/>
      <c r="P22" s="5"/>
      <c r="Q22" s="5"/>
      <c r="R22" s="5"/>
      <c r="S22" s="5"/>
      <c r="T22" s="5"/>
    </row>
    <row r="23" spans="1:20" x14ac:dyDescent="0.2">
      <c r="A23" s="38"/>
      <c r="B23" s="40"/>
      <c r="C23" s="37" t="s">
        <v>258</v>
      </c>
      <c r="D23" s="37"/>
      <c r="E23" s="113">
        <v>0.05</v>
      </c>
      <c r="F23" s="37"/>
      <c r="G23" s="37"/>
      <c r="H23" s="37"/>
      <c r="I23" s="37"/>
      <c r="J23" s="37"/>
      <c r="K23" s="36"/>
      <c r="M23" s="7" t="s">
        <v>373</v>
      </c>
      <c r="N23" s="5"/>
      <c r="O23" s="5"/>
      <c r="P23" s="5"/>
      <c r="Q23" s="5"/>
      <c r="R23" s="5"/>
      <c r="S23" s="5"/>
      <c r="T23" s="5"/>
    </row>
    <row r="24" spans="1:20" x14ac:dyDescent="0.2">
      <c r="A24" s="38"/>
      <c r="B24" s="40"/>
      <c r="C24" s="37" t="s">
        <v>372</v>
      </c>
      <c r="D24" s="37"/>
      <c r="E24" s="113">
        <v>0.04</v>
      </c>
      <c r="F24" s="37"/>
      <c r="G24" s="37"/>
      <c r="H24" s="37"/>
      <c r="I24" s="37"/>
      <c r="J24" s="37"/>
      <c r="K24" s="36"/>
      <c r="M24" s="5"/>
      <c r="N24" s="5"/>
      <c r="O24" s="5"/>
      <c r="P24" s="5"/>
      <c r="Q24" s="5"/>
      <c r="R24" s="5"/>
    </row>
    <row r="25" spans="1:20" x14ac:dyDescent="0.2">
      <c r="A25" s="38"/>
      <c r="B25" s="40"/>
      <c r="C25" s="37"/>
      <c r="D25" s="37"/>
      <c r="E25" s="37"/>
      <c r="F25" s="37"/>
      <c r="G25" s="37"/>
      <c r="H25" s="37"/>
      <c r="I25" s="37"/>
      <c r="J25" s="37"/>
      <c r="K25" s="36"/>
      <c r="M25" s="24" t="s">
        <v>21</v>
      </c>
      <c r="N25" s="31" t="s">
        <v>18</v>
      </c>
      <c r="O25" s="24" t="s">
        <v>30</v>
      </c>
      <c r="P25" s="23" t="s">
        <v>28</v>
      </c>
      <c r="Q25" s="5"/>
      <c r="R25" s="5"/>
    </row>
    <row r="26" spans="1:20" ht="17" x14ac:dyDescent="0.2">
      <c r="A26" s="38"/>
      <c r="B26" s="39"/>
      <c r="C26" s="37" t="s">
        <v>371</v>
      </c>
      <c r="D26" s="37"/>
      <c r="E26" s="37"/>
      <c r="F26" s="37"/>
      <c r="G26" s="37"/>
      <c r="H26" s="37"/>
      <c r="I26" s="37"/>
      <c r="J26" s="37"/>
      <c r="K26" s="36"/>
      <c r="M26" s="16" t="s">
        <v>17</v>
      </c>
      <c r="N26" s="21" t="s">
        <v>14</v>
      </c>
      <c r="O26" s="16" t="s">
        <v>26</v>
      </c>
      <c r="P26" s="21" t="s">
        <v>14</v>
      </c>
      <c r="Q26" s="5"/>
      <c r="R26" s="5"/>
    </row>
    <row r="27" spans="1:20" x14ac:dyDescent="0.2">
      <c r="A27" s="38"/>
      <c r="B27" s="40"/>
      <c r="C27" s="37" t="s">
        <v>370</v>
      </c>
      <c r="D27" s="37"/>
      <c r="E27" s="37"/>
      <c r="F27" s="37"/>
      <c r="G27" s="37"/>
      <c r="H27" s="37"/>
      <c r="I27" s="37"/>
      <c r="J27" s="37"/>
      <c r="K27" s="36"/>
      <c r="M27" s="11">
        <f>C9</f>
        <v>2010</v>
      </c>
      <c r="N27" s="9">
        <f>E9/E18</f>
        <v>27009.638554216868</v>
      </c>
      <c r="O27" s="56">
        <f>(1+$E$23)^O11</f>
        <v>1.1025</v>
      </c>
      <c r="P27" s="9">
        <f>N27*O27</f>
        <v>29778.126506024098</v>
      </c>
      <c r="Q27" s="5"/>
      <c r="R27" s="5"/>
    </row>
    <row r="28" spans="1:20" ht="17" thickBot="1" x14ac:dyDescent="0.25">
      <c r="A28" s="38"/>
      <c r="B28" s="40"/>
      <c r="C28" s="37"/>
      <c r="D28" s="37"/>
      <c r="E28" s="37"/>
      <c r="F28" s="37"/>
      <c r="G28" s="37"/>
      <c r="H28" s="37"/>
      <c r="I28" s="37"/>
      <c r="J28" s="37"/>
      <c r="K28" s="36"/>
      <c r="M28" s="11">
        <f>C10</f>
        <v>2011</v>
      </c>
      <c r="N28" s="9">
        <f>E10/E17</f>
        <v>27955.223880597012</v>
      </c>
      <c r="O28" s="56">
        <f>(1+$E$23)^O12</f>
        <v>1.05</v>
      </c>
      <c r="P28" s="9">
        <f>N28*O28</f>
        <v>29352.985074626864</v>
      </c>
      <c r="Q28" s="5"/>
      <c r="R28" s="5"/>
    </row>
    <row r="29" spans="1:20" ht="17" thickBot="1" x14ac:dyDescent="0.25">
      <c r="A29" s="35" t="s">
        <v>32</v>
      </c>
      <c r="B29" s="33"/>
      <c r="C29" s="34"/>
      <c r="D29" s="33"/>
      <c r="E29" s="33"/>
      <c r="F29" s="33"/>
      <c r="G29" s="33"/>
      <c r="H29" s="33"/>
      <c r="I29" s="33"/>
      <c r="J29" s="33"/>
      <c r="K29" s="32"/>
      <c r="M29" s="143"/>
      <c r="N29" s="9"/>
      <c r="O29" s="5"/>
      <c r="P29" s="5"/>
      <c r="Q29" s="5"/>
      <c r="R29" s="5"/>
      <c r="S29" s="5"/>
    </row>
    <row r="30" spans="1:20" x14ac:dyDescent="0.2">
      <c r="M30" s="5"/>
      <c r="N30" s="153" t="s">
        <v>369</v>
      </c>
      <c r="O30" s="26"/>
      <c r="P30" s="25">
        <f>AVERAGE(P27:P28)</f>
        <v>29565.555790325481</v>
      </c>
      <c r="S30" s="5"/>
      <c r="T30" s="5"/>
    </row>
    <row r="31" spans="1:20" x14ac:dyDescent="0.2">
      <c r="M31" s="5"/>
      <c r="N31" s="5"/>
      <c r="O31" s="5"/>
      <c r="S31" s="5"/>
      <c r="T31" s="5"/>
    </row>
    <row r="32" spans="1:20" x14ac:dyDescent="0.2">
      <c r="M32" s="5" t="s">
        <v>368</v>
      </c>
      <c r="N32" s="5"/>
      <c r="O32" s="5"/>
      <c r="S32" s="5"/>
      <c r="T32" s="5"/>
    </row>
    <row r="33" spans="13:20" x14ac:dyDescent="0.2">
      <c r="M33" s="5"/>
      <c r="N33" s="5"/>
      <c r="O33" s="5"/>
      <c r="S33" s="5"/>
      <c r="T33" s="5"/>
    </row>
    <row r="34" spans="13:20" x14ac:dyDescent="0.2">
      <c r="M34" s="5"/>
      <c r="N34" s="5"/>
      <c r="O34" s="5"/>
      <c r="S34" s="5"/>
      <c r="T34" s="5"/>
    </row>
    <row r="35" spans="13:20" x14ac:dyDescent="0.2">
      <c r="M35" s="7" t="s">
        <v>367</v>
      </c>
      <c r="N35" s="5"/>
      <c r="O35" s="5"/>
      <c r="P35" s="5"/>
      <c r="Q35" s="5"/>
      <c r="R35" s="5"/>
      <c r="S35" s="5"/>
      <c r="T35" s="5"/>
    </row>
    <row r="36" spans="13:20" x14ac:dyDescent="0.2">
      <c r="T36" s="5"/>
    </row>
    <row r="37" spans="13:20" x14ac:dyDescent="0.2">
      <c r="M37" s="153" t="s">
        <v>366</v>
      </c>
      <c r="T37" s="5"/>
    </row>
    <row r="38" spans="13:20" x14ac:dyDescent="0.2">
      <c r="M38" s="153"/>
      <c r="N38" s="153"/>
      <c r="O38" s="153"/>
      <c r="P38" s="153"/>
      <c r="Q38" s="153"/>
      <c r="R38" s="153"/>
      <c r="T38" s="5"/>
    </row>
    <row r="39" spans="13:20" x14ac:dyDescent="0.2">
      <c r="M39" s="153" t="s">
        <v>163</v>
      </c>
      <c r="N39" s="9">
        <f>F11</f>
        <v>67005</v>
      </c>
      <c r="P39" s="153"/>
      <c r="Q39" s="153"/>
      <c r="R39" s="153"/>
    </row>
    <row r="40" spans="13:20" x14ac:dyDescent="0.2">
      <c r="M40" s="153" t="s">
        <v>365</v>
      </c>
      <c r="N40" s="187">
        <f>Q19</f>
        <v>2.2535543942170822E-2</v>
      </c>
      <c r="P40" s="153"/>
      <c r="Q40" s="153"/>
      <c r="R40" s="153"/>
    </row>
    <row r="41" spans="13:20" x14ac:dyDescent="0.2">
      <c r="M41" s="153" t="s">
        <v>364</v>
      </c>
      <c r="N41" s="9">
        <f>P30</f>
        <v>29565.555790325481</v>
      </c>
      <c r="P41" s="153"/>
      <c r="Q41" s="153"/>
      <c r="R41" s="153"/>
    </row>
    <row r="42" spans="13:20" ht="17" thickBot="1" x14ac:dyDescent="0.25">
      <c r="P42" s="153"/>
      <c r="Q42" s="153"/>
      <c r="R42" s="153"/>
    </row>
    <row r="43" spans="13:20" ht="17" thickBot="1" x14ac:dyDescent="0.25">
      <c r="M43" s="186" t="s">
        <v>363</v>
      </c>
      <c r="N43" s="185">
        <f>N39*N40*N41-D11*E11</f>
        <v>31855292.452476487</v>
      </c>
      <c r="O43" s="153"/>
      <c r="P43" s="153"/>
      <c r="Q43" s="153"/>
      <c r="R43" s="153"/>
    </row>
    <row r="44" spans="13:20" x14ac:dyDescent="0.2">
      <c r="M44" s="153"/>
      <c r="N44" s="153"/>
      <c r="O44" s="153"/>
      <c r="P44" s="153"/>
      <c r="Q44" s="153"/>
      <c r="R44" s="153"/>
    </row>
    <row r="45" spans="13:20" x14ac:dyDescent="0.2">
      <c r="M45" s="153"/>
      <c r="N45" s="153"/>
      <c r="O45" s="153"/>
      <c r="P45" s="153"/>
      <c r="Q45" s="153"/>
      <c r="R45" s="153"/>
    </row>
    <row r="46" spans="13:20" ht="19" x14ac:dyDescent="0.25">
      <c r="M46" s="72" t="s">
        <v>3</v>
      </c>
      <c r="N46" s="153"/>
      <c r="O46" s="153"/>
      <c r="P46" s="153"/>
      <c r="Q46" s="153"/>
      <c r="R46" s="153"/>
    </row>
    <row r="47" spans="13:20" x14ac:dyDescent="0.2">
      <c r="M47" s="256" t="s">
        <v>362</v>
      </c>
      <c r="N47" s="256"/>
      <c r="O47" s="256"/>
      <c r="P47" s="256"/>
      <c r="Q47" s="256"/>
      <c r="R47" s="256"/>
      <c r="S47" s="256"/>
    </row>
    <row r="48" spans="13:20" x14ac:dyDescent="0.2">
      <c r="M48" s="256"/>
      <c r="N48" s="256"/>
      <c r="O48" s="256"/>
      <c r="P48" s="256"/>
      <c r="Q48" s="256"/>
      <c r="R48" s="256"/>
      <c r="S48" s="256"/>
    </row>
    <row r="49" spans="13:19" x14ac:dyDescent="0.2">
      <c r="M49" s="256"/>
      <c r="N49" s="256"/>
      <c r="O49" s="256"/>
      <c r="P49" s="256"/>
      <c r="Q49" s="256"/>
      <c r="R49" s="256"/>
      <c r="S49" s="256"/>
    </row>
    <row r="50" spans="13:19" x14ac:dyDescent="0.2">
      <c r="M50" s="256"/>
      <c r="N50" s="256"/>
      <c r="O50" s="256"/>
      <c r="P50" s="256"/>
      <c r="Q50" s="256"/>
      <c r="R50" s="256"/>
      <c r="S50" s="256"/>
    </row>
    <row r="51" spans="13:19" x14ac:dyDescent="0.2">
      <c r="M51" s="256"/>
      <c r="N51" s="256"/>
      <c r="O51" s="256"/>
      <c r="P51" s="256"/>
      <c r="Q51" s="256"/>
      <c r="R51" s="256"/>
      <c r="S51" s="256"/>
    </row>
    <row r="52" spans="13:19" x14ac:dyDescent="0.2">
      <c r="M52" s="256"/>
      <c r="N52" s="256"/>
      <c r="O52" s="256"/>
      <c r="P52" s="256"/>
      <c r="Q52" s="256"/>
      <c r="R52" s="256"/>
      <c r="S52" s="256"/>
    </row>
    <row r="54" spans="13:19" ht="19" x14ac:dyDescent="0.25">
      <c r="M54" s="72" t="s">
        <v>1</v>
      </c>
    </row>
    <row r="55" spans="13:19" x14ac:dyDescent="0.2">
      <c r="M55" s="1" t="s">
        <v>0</v>
      </c>
    </row>
  </sheetData>
  <mergeCells count="6">
    <mergeCell ref="M3:S4"/>
    <mergeCell ref="M47:S52"/>
    <mergeCell ref="D6:E6"/>
    <mergeCell ref="D7:E7"/>
    <mergeCell ref="D13:E13"/>
    <mergeCell ref="D14:E14"/>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C2D1-2AA6-CE42-AD36-6E0F749A9CAD}">
  <dimension ref="A1:U57"/>
  <sheetViews>
    <sheetView workbookViewId="0">
      <selection activeCell="B1" sqref="B1"/>
    </sheetView>
  </sheetViews>
  <sheetFormatPr baseColWidth="10" defaultColWidth="11" defaultRowHeight="16" outlineLevelCol="1" x14ac:dyDescent="0.2"/>
  <cols>
    <col min="1" max="1" width="4" style="2" customWidth="1"/>
    <col min="2" max="2" width="10.83203125" style="1" customWidth="1"/>
    <col min="3" max="3" width="12" style="1" customWidth="1"/>
    <col min="4" max="4" width="12.6640625" style="1" customWidth="1"/>
    <col min="5" max="11" width="10.83203125" style="1" customWidth="1"/>
    <col min="12" max="12" width="11" style="1"/>
    <col min="13" max="13" width="10.83203125" style="1" hidden="1" customWidth="1" outlineLevel="1"/>
    <col min="14" max="14" width="11.83203125" style="1" hidden="1" customWidth="1" outlineLevel="1"/>
    <col min="15" max="16" width="10.83203125" style="1" hidden="1" customWidth="1" outlineLevel="1"/>
    <col min="17" max="18" width="11.83203125" style="1" hidden="1" customWidth="1" outlineLevel="1"/>
    <col min="19" max="19" width="10.83203125" style="1" hidden="1" customWidth="1" outlineLevel="1"/>
    <col min="20" max="20" width="0" style="1" hidden="1" customWidth="1" outlineLevel="1"/>
    <col min="21" max="21" width="11" style="1" collapsed="1"/>
    <col min="22" max="16384" width="11" style="1"/>
  </cols>
  <sheetData>
    <row r="1" spans="1:20" x14ac:dyDescent="0.2">
      <c r="A1" s="71"/>
      <c r="B1" s="70" t="s">
        <v>70</v>
      </c>
      <c r="C1" s="69" t="s">
        <v>240</v>
      </c>
      <c r="D1" s="69" t="s">
        <v>68</v>
      </c>
      <c r="E1" s="69" t="s">
        <v>268</v>
      </c>
      <c r="F1" s="68"/>
      <c r="G1" s="68"/>
      <c r="H1" s="68"/>
      <c r="I1" s="68"/>
      <c r="J1" s="68"/>
      <c r="K1" s="67"/>
      <c r="L1" s="64" t="s">
        <v>66</v>
      </c>
    </row>
    <row r="2" spans="1:20" x14ac:dyDescent="0.2">
      <c r="A2" s="38"/>
      <c r="B2" s="66" t="s">
        <v>65</v>
      </c>
      <c r="C2" s="65">
        <v>2.75</v>
      </c>
      <c r="D2" s="37"/>
      <c r="E2" s="37"/>
      <c r="F2" s="37"/>
      <c r="G2" s="37"/>
      <c r="H2" s="37"/>
      <c r="I2" s="37"/>
      <c r="J2" s="37"/>
      <c r="K2" s="36"/>
      <c r="M2" s="64" t="s">
        <v>64</v>
      </c>
    </row>
    <row r="3" spans="1:20" ht="16" customHeight="1" x14ac:dyDescent="0.2">
      <c r="A3" s="38"/>
      <c r="B3" s="37"/>
      <c r="C3" s="37"/>
      <c r="D3" s="37"/>
      <c r="E3" s="37"/>
      <c r="F3" s="37"/>
      <c r="G3" s="37"/>
      <c r="H3" s="37"/>
      <c r="I3" s="37"/>
      <c r="J3" s="37"/>
      <c r="K3" s="36"/>
      <c r="M3" s="256" t="s">
        <v>267</v>
      </c>
      <c r="N3" s="256"/>
      <c r="O3" s="256"/>
      <c r="P3" s="256"/>
      <c r="Q3" s="256"/>
      <c r="R3" s="256"/>
      <c r="S3" s="256"/>
    </row>
    <row r="4" spans="1:20" x14ac:dyDescent="0.2">
      <c r="A4" s="38"/>
      <c r="B4" s="37"/>
      <c r="C4" s="37" t="s">
        <v>266</v>
      </c>
      <c r="D4" s="37"/>
      <c r="E4" s="37"/>
      <c r="F4" s="37"/>
      <c r="G4" s="37"/>
      <c r="H4" s="37"/>
      <c r="I4" s="37"/>
      <c r="J4" s="37"/>
      <c r="K4" s="36"/>
      <c r="M4" s="256"/>
      <c r="N4" s="256"/>
      <c r="O4" s="256"/>
      <c r="P4" s="256"/>
      <c r="Q4" s="256"/>
      <c r="R4" s="256"/>
      <c r="S4" s="256"/>
    </row>
    <row r="5" spans="1:20" x14ac:dyDescent="0.2">
      <c r="A5" s="38"/>
      <c r="B5" s="37"/>
      <c r="C5" s="37"/>
      <c r="D5" s="37"/>
      <c r="E5" s="37"/>
      <c r="F5" s="37"/>
      <c r="G5" s="37"/>
      <c r="H5" s="37"/>
      <c r="I5" s="37"/>
      <c r="J5" s="37"/>
      <c r="K5" s="36"/>
      <c r="M5" s="256"/>
      <c r="N5" s="256"/>
      <c r="O5" s="256"/>
      <c r="P5" s="256"/>
      <c r="Q5" s="256"/>
      <c r="R5" s="256"/>
      <c r="S5" s="256"/>
    </row>
    <row r="6" spans="1:20" x14ac:dyDescent="0.2">
      <c r="A6" s="38"/>
      <c r="B6" s="37"/>
      <c r="C6" s="167"/>
      <c r="D6" s="167" t="s">
        <v>77</v>
      </c>
      <c r="E6" s="166" t="s">
        <v>20</v>
      </c>
      <c r="F6" s="259" t="s">
        <v>265</v>
      </c>
      <c r="G6" s="260"/>
      <c r="H6" s="37"/>
      <c r="I6" s="37"/>
      <c r="J6" s="37"/>
      <c r="K6" s="36"/>
      <c r="M6" s="5"/>
      <c r="N6" s="5"/>
      <c r="O6" s="5"/>
      <c r="P6" s="5"/>
      <c r="Q6" s="5"/>
      <c r="R6" s="5"/>
      <c r="S6" s="5"/>
    </row>
    <row r="7" spans="1:20" x14ac:dyDescent="0.2">
      <c r="A7" s="38"/>
      <c r="B7" s="37"/>
      <c r="C7" s="58" t="s">
        <v>55</v>
      </c>
      <c r="D7" s="58" t="s">
        <v>56</v>
      </c>
      <c r="E7" s="59" t="s">
        <v>49</v>
      </c>
      <c r="F7" s="280" t="s">
        <v>264</v>
      </c>
      <c r="G7" s="281"/>
      <c r="H7" s="37"/>
      <c r="I7" s="37"/>
      <c r="J7" s="37"/>
      <c r="K7" s="36"/>
      <c r="M7" s="24" t="s">
        <v>21</v>
      </c>
      <c r="N7" s="31" t="s">
        <v>190</v>
      </c>
      <c r="O7" s="23" t="s">
        <v>31</v>
      </c>
      <c r="P7" s="24" t="s">
        <v>30</v>
      </c>
      <c r="Q7" s="23" t="s">
        <v>61</v>
      </c>
      <c r="R7" s="24" t="s">
        <v>51</v>
      </c>
      <c r="S7" s="23" t="s">
        <v>28</v>
      </c>
    </row>
    <row r="8" spans="1:20" ht="17" x14ac:dyDescent="0.2">
      <c r="A8" s="38"/>
      <c r="B8" s="37"/>
      <c r="C8" s="42" t="s">
        <v>17</v>
      </c>
      <c r="D8" s="42" t="s">
        <v>59</v>
      </c>
      <c r="E8" s="55" t="s">
        <v>263</v>
      </c>
      <c r="F8" s="261" t="s">
        <v>262</v>
      </c>
      <c r="G8" s="262"/>
      <c r="H8" s="37"/>
      <c r="I8" s="37"/>
      <c r="J8" s="37"/>
      <c r="K8" s="36"/>
      <c r="M8" s="16" t="s">
        <v>17</v>
      </c>
      <c r="N8" s="21" t="s">
        <v>53</v>
      </c>
      <c r="O8" s="21" t="s">
        <v>169</v>
      </c>
      <c r="P8" s="16" t="s">
        <v>26</v>
      </c>
      <c r="Q8" s="21" t="s">
        <v>58</v>
      </c>
      <c r="R8" s="16" t="s">
        <v>261</v>
      </c>
      <c r="S8" s="21" t="s">
        <v>15</v>
      </c>
    </row>
    <row r="9" spans="1:20" x14ac:dyDescent="0.2">
      <c r="A9" s="38"/>
      <c r="B9" s="37"/>
      <c r="C9" s="42">
        <v>2012</v>
      </c>
      <c r="D9" s="50">
        <v>1025</v>
      </c>
      <c r="E9" s="165">
        <v>132500</v>
      </c>
      <c r="F9" s="282">
        <v>1.405</v>
      </c>
      <c r="G9" s="282"/>
      <c r="H9" s="37"/>
      <c r="I9" s="37"/>
      <c r="J9" s="37"/>
      <c r="K9" s="36"/>
      <c r="M9" s="11">
        <f t="shared" ref="M9:N11" si="0">C9</f>
        <v>2012</v>
      </c>
      <c r="N9" s="9">
        <f t="shared" si="0"/>
        <v>1025</v>
      </c>
      <c r="O9" s="29">
        <f>2016-M9</f>
        <v>4</v>
      </c>
      <c r="P9" s="56">
        <f>(1+$E$14)^O9</f>
        <v>0.92236815999999988</v>
      </c>
      <c r="Q9" s="9">
        <f>N9*P9</f>
        <v>945.4273639999999</v>
      </c>
      <c r="R9" s="45">
        <f>E9*F9</f>
        <v>186162.5</v>
      </c>
      <c r="S9" s="44">
        <f>Q9/R9</f>
        <v>5.078505950446518E-3</v>
      </c>
    </row>
    <row r="10" spans="1:20" x14ac:dyDescent="0.2">
      <c r="A10" s="38"/>
      <c r="B10" s="37"/>
      <c r="C10" s="51">
        <v>2013</v>
      </c>
      <c r="D10" s="50">
        <v>3070</v>
      </c>
      <c r="E10" s="165">
        <v>275250</v>
      </c>
      <c r="F10" s="279">
        <v>1.3</v>
      </c>
      <c r="G10" s="279"/>
      <c r="H10" s="37"/>
      <c r="I10" s="37"/>
      <c r="J10" s="37"/>
      <c r="K10" s="36"/>
      <c r="M10" s="11">
        <f t="shared" si="0"/>
        <v>2013</v>
      </c>
      <c r="N10" s="9">
        <f t="shared" si="0"/>
        <v>3070</v>
      </c>
      <c r="O10" s="29">
        <f>2016-M10</f>
        <v>3</v>
      </c>
      <c r="P10" s="56">
        <f>(1+$E$14)^O10</f>
        <v>0.94119199999999992</v>
      </c>
      <c r="Q10" s="9">
        <f>N10*P10</f>
        <v>2889.4594399999996</v>
      </c>
      <c r="R10" s="45">
        <f>E10*F10</f>
        <v>357825</v>
      </c>
      <c r="S10" s="44">
        <f>Q10/R10</f>
        <v>8.0750630615524337E-3</v>
      </c>
    </row>
    <row r="11" spans="1:20" x14ac:dyDescent="0.2">
      <c r="A11" s="38"/>
      <c r="B11" s="37"/>
      <c r="C11" s="51">
        <v>2014</v>
      </c>
      <c r="D11" s="50">
        <v>2950</v>
      </c>
      <c r="E11" s="165">
        <v>330750</v>
      </c>
      <c r="F11" s="279">
        <v>1.07</v>
      </c>
      <c r="G11" s="279"/>
      <c r="H11" s="37"/>
      <c r="I11" s="37"/>
      <c r="J11" s="37"/>
      <c r="K11" s="36"/>
      <c r="M11" s="11">
        <f t="shared" si="0"/>
        <v>2014</v>
      </c>
      <c r="N11" s="9">
        <f t="shared" si="0"/>
        <v>2950</v>
      </c>
      <c r="O11" s="29">
        <f>2016-M11</f>
        <v>2</v>
      </c>
      <c r="P11" s="56">
        <f>(1+$E$14)^O11</f>
        <v>0.96039999999999992</v>
      </c>
      <c r="Q11" s="9">
        <f>N11*P11</f>
        <v>2833.18</v>
      </c>
      <c r="R11" s="45">
        <f>E11*F11</f>
        <v>353902.5</v>
      </c>
      <c r="S11" s="44">
        <f>Q11/R11</f>
        <v>8.0055382485289019E-3</v>
      </c>
    </row>
    <row r="12" spans="1:20" x14ac:dyDescent="0.2">
      <c r="A12" s="38"/>
      <c r="B12" s="37"/>
      <c r="C12" s="51">
        <v>2015</v>
      </c>
      <c r="D12" s="51" t="s">
        <v>185</v>
      </c>
      <c r="E12" s="165">
        <v>360825</v>
      </c>
      <c r="F12" s="279">
        <v>1.05</v>
      </c>
      <c r="G12" s="279"/>
      <c r="H12" s="37"/>
      <c r="I12" s="37"/>
      <c r="J12" s="37"/>
      <c r="K12" s="36"/>
      <c r="M12" s="5"/>
      <c r="N12" s="5"/>
      <c r="O12" s="5"/>
      <c r="S12" s="164"/>
    </row>
    <row r="13" spans="1:20" x14ac:dyDescent="0.2">
      <c r="A13" s="38"/>
      <c r="B13" s="37"/>
      <c r="C13" s="37"/>
      <c r="D13" s="37"/>
      <c r="E13" s="37"/>
      <c r="F13" s="37"/>
      <c r="G13" s="37"/>
      <c r="H13" s="37"/>
      <c r="I13" s="37"/>
      <c r="J13" s="37"/>
      <c r="K13" s="36"/>
      <c r="M13" s="5"/>
      <c r="N13" s="5"/>
      <c r="O13" s="5"/>
      <c r="Q13" s="5" t="s">
        <v>181</v>
      </c>
      <c r="R13" s="5"/>
      <c r="S13" s="41">
        <f>AVERAGE(S10:S11)</f>
        <v>8.0403006550406678E-3</v>
      </c>
    </row>
    <row r="14" spans="1:20" x14ac:dyDescent="0.2">
      <c r="A14" s="38"/>
      <c r="B14" s="40"/>
      <c r="C14" s="37" t="s">
        <v>183</v>
      </c>
      <c r="D14" s="37"/>
      <c r="E14" s="113">
        <v>-0.02</v>
      </c>
      <c r="F14" s="37"/>
      <c r="G14" s="37"/>
      <c r="H14" s="37"/>
      <c r="I14" s="37"/>
      <c r="J14" s="37"/>
      <c r="K14" s="36"/>
      <c r="M14" s="5"/>
      <c r="N14" s="5"/>
      <c r="O14" s="5"/>
      <c r="Q14" s="7" t="s">
        <v>260</v>
      </c>
      <c r="R14" s="7"/>
      <c r="S14" s="163">
        <f>S13*F12/(1+E14)</f>
        <v>8.61460784468643E-3</v>
      </c>
      <c r="T14" s="5" t="s">
        <v>259</v>
      </c>
    </row>
    <row r="15" spans="1:20" x14ac:dyDescent="0.2">
      <c r="A15" s="38"/>
      <c r="B15" s="40"/>
      <c r="C15" s="37" t="s">
        <v>258</v>
      </c>
      <c r="D15" s="37"/>
      <c r="E15" s="113">
        <v>0.05</v>
      </c>
      <c r="F15" s="37"/>
      <c r="G15" s="37"/>
      <c r="H15" s="37"/>
      <c r="I15" s="37"/>
      <c r="J15" s="37"/>
      <c r="K15" s="36"/>
      <c r="M15" s="5"/>
      <c r="N15" s="5"/>
      <c r="O15" s="5"/>
      <c r="Q15" s="7"/>
      <c r="R15" s="7"/>
      <c r="S15" s="163"/>
    </row>
    <row r="16" spans="1:20" x14ac:dyDescent="0.2">
      <c r="A16" s="38"/>
      <c r="B16" s="40"/>
      <c r="C16" s="37" t="s">
        <v>257</v>
      </c>
      <c r="D16" s="37"/>
      <c r="E16" s="37"/>
      <c r="F16" s="37"/>
      <c r="G16" s="135">
        <v>13370</v>
      </c>
      <c r="H16" s="37"/>
      <c r="I16" s="37"/>
      <c r="J16" s="37"/>
      <c r="K16" s="36"/>
      <c r="M16" s="114" t="s">
        <v>178</v>
      </c>
      <c r="N16" s="5"/>
      <c r="S16" s="5"/>
    </row>
    <row r="17" spans="1:19" x14ac:dyDescent="0.2">
      <c r="A17" s="38"/>
      <c r="B17" s="40"/>
      <c r="C17" s="37" t="s">
        <v>256</v>
      </c>
      <c r="D17" s="37"/>
      <c r="E17" s="37"/>
      <c r="F17" s="37"/>
      <c r="G17" s="37"/>
      <c r="H17" s="37"/>
      <c r="I17" s="135">
        <v>30880900</v>
      </c>
      <c r="J17" s="135"/>
      <c r="K17" s="36"/>
      <c r="M17" s="256" t="s">
        <v>255</v>
      </c>
      <c r="N17" s="256"/>
      <c r="O17" s="256"/>
      <c r="P17" s="256"/>
      <c r="Q17" s="256"/>
      <c r="R17" s="256"/>
      <c r="S17" s="256"/>
    </row>
    <row r="18" spans="1:19" x14ac:dyDescent="0.2">
      <c r="A18" s="38"/>
      <c r="B18" s="40"/>
      <c r="C18" s="37"/>
      <c r="D18" s="37"/>
      <c r="E18" s="37"/>
      <c r="F18" s="37"/>
      <c r="G18" s="37"/>
      <c r="H18" s="37"/>
      <c r="I18" s="37"/>
      <c r="J18" s="37"/>
      <c r="K18" s="36"/>
      <c r="M18" s="256"/>
      <c r="N18" s="256"/>
      <c r="O18" s="256"/>
      <c r="P18" s="256"/>
      <c r="Q18" s="256"/>
      <c r="R18" s="256"/>
      <c r="S18" s="256"/>
    </row>
    <row r="19" spans="1:19" x14ac:dyDescent="0.2">
      <c r="A19" s="38" t="s">
        <v>40</v>
      </c>
      <c r="B19" s="39" t="s">
        <v>213</v>
      </c>
      <c r="C19" s="37" t="s">
        <v>254</v>
      </c>
      <c r="D19" s="37"/>
      <c r="E19" s="37"/>
      <c r="F19" s="37"/>
      <c r="G19" s="37"/>
      <c r="H19" s="37"/>
      <c r="I19" s="37"/>
      <c r="J19" s="37"/>
      <c r="K19" s="36"/>
      <c r="M19" s="102"/>
      <c r="N19" s="102"/>
      <c r="O19" s="102"/>
      <c r="P19" s="102"/>
      <c r="Q19" s="102"/>
      <c r="R19" s="102"/>
      <c r="S19" s="102"/>
    </row>
    <row r="20" spans="1:19" x14ac:dyDescent="0.2">
      <c r="A20" s="38"/>
      <c r="B20" s="40"/>
      <c r="C20" s="37"/>
      <c r="D20" s="37"/>
      <c r="E20" s="37"/>
      <c r="F20" s="37"/>
      <c r="G20" s="37"/>
      <c r="H20" s="37"/>
      <c r="I20" s="37"/>
      <c r="J20" s="37"/>
      <c r="K20" s="36"/>
      <c r="M20" s="256" t="s">
        <v>253</v>
      </c>
      <c r="N20" s="256"/>
      <c r="O20" s="256"/>
      <c r="P20" s="256"/>
      <c r="Q20" s="256"/>
      <c r="R20" s="256"/>
      <c r="S20" s="256"/>
    </row>
    <row r="21" spans="1:19" x14ac:dyDescent="0.2">
      <c r="A21" s="38" t="s">
        <v>36</v>
      </c>
      <c r="B21" s="39" t="s">
        <v>35</v>
      </c>
      <c r="C21" s="37" t="s">
        <v>252</v>
      </c>
      <c r="D21" s="37"/>
      <c r="E21" s="37"/>
      <c r="F21" s="37"/>
      <c r="G21" s="37"/>
      <c r="H21" s="37"/>
      <c r="I21" s="37"/>
      <c r="J21" s="37"/>
      <c r="K21" s="36"/>
      <c r="M21" s="256"/>
      <c r="N21" s="256"/>
      <c r="O21" s="256"/>
      <c r="P21" s="256"/>
      <c r="Q21" s="256"/>
      <c r="R21" s="256"/>
      <c r="S21" s="256"/>
    </row>
    <row r="22" spans="1:19" x14ac:dyDescent="0.2">
      <c r="A22" s="38"/>
      <c r="B22" s="40"/>
      <c r="C22" s="37" t="s">
        <v>251</v>
      </c>
      <c r="D22" s="37"/>
      <c r="E22" s="37"/>
      <c r="F22" s="37"/>
      <c r="G22" s="37"/>
      <c r="H22" s="37"/>
      <c r="I22" s="37"/>
      <c r="J22" s="37"/>
      <c r="K22" s="36"/>
      <c r="M22" s="5"/>
      <c r="N22" s="5"/>
      <c r="O22" s="5"/>
      <c r="P22" s="5"/>
      <c r="Q22" s="5"/>
      <c r="R22" s="102"/>
      <c r="S22" s="5"/>
    </row>
    <row r="23" spans="1:19" ht="17" thickBot="1" x14ac:dyDescent="0.25">
      <c r="A23" s="38"/>
      <c r="B23" s="40"/>
      <c r="C23" s="37"/>
      <c r="D23" s="37"/>
      <c r="E23" s="37"/>
      <c r="F23" s="37"/>
      <c r="G23" s="37"/>
      <c r="H23" s="37"/>
      <c r="I23" s="37"/>
      <c r="J23" s="37"/>
      <c r="K23" s="36"/>
      <c r="M23" s="274" t="s">
        <v>250</v>
      </c>
      <c r="N23" s="274"/>
      <c r="O23" s="162">
        <f>G16/(1+E15)</f>
        <v>12733.333333333332</v>
      </c>
      <c r="P23" s="102"/>
    </row>
    <row r="24" spans="1:19" ht="17" thickBot="1" x14ac:dyDescent="0.25">
      <c r="A24" s="35" t="s">
        <v>32</v>
      </c>
      <c r="B24" s="33"/>
      <c r="C24" s="34"/>
      <c r="D24" s="33"/>
      <c r="E24" s="33"/>
      <c r="F24" s="33"/>
      <c r="G24" s="33"/>
      <c r="H24" s="33"/>
      <c r="I24" s="33"/>
      <c r="J24" s="33"/>
      <c r="K24" s="32"/>
      <c r="M24" s="5"/>
      <c r="N24" s="5"/>
      <c r="O24" s="5"/>
      <c r="S24" s="5"/>
    </row>
    <row r="25" spans="1:19" x14ac:dyDescent="0.2">
      <c r="M25" s="5" t="s">
        <v>249</v>
      </c>
      <c r="N25" s="5"/>
      <c r="O25" s="5"/>
      <c r="P25" s="5"/>
      <c r="Q25" s="5"/>
      <c r="R25" s="5"/>
      <c r="S25" s="5"/>
    </row>
    <row r="26" spans="1:19" x14ac:dyDescent="0.2">
      <c r="M26" s="5"/>
      <c r="N26" s="5"/>
      <c r="O26" s="5"/>
      <c r="P26" s="5"/>
      <c r="Q26" s="5"/>
      <c r="R26" s="5"/>
      <c r="S26" s="5"/>
    </row>
    <row r="27" spans="1:19" x14ac:dyDescent="0.2">
      <c r="M27" s="5" t="s">
        <v>248</v>
      </c>
      <c r="N27" s="5"/>
      <c r="O27" s="5"/>
      <c r="P27" s="5"/>
      <c r="Q27" s="5"/>
      <c r="R27" s="5"/>
      <c r="S27" s="5"/>
    </row>
    <row r="28" spans="1:19" x14ac:dyDescent="0.2">
      <c r="M28" s="5" t="s">
        <v>247</v>
      </c>
      <c r="N28" s="5"/>
      <c r="O28" s="25">
        <f>E12</f>
        <v>360825</v>
      </c>
      <c r="P28" s="5"/>
      <c r="Q28" s="5"/>
      <c r="R28" s="5"/>
      <c r="S28" s="5"/>
    </row>
    <row r="29" spans="1:19" x14ac:dyDescent="0.2">
      <c r="M29" s="5" t="s">
        <v>162</v>
      </c>
      <c r="N29" s="5"/>
      <c r="O29" s="44">
        <f>S14</f>
        <v>8.61460784468643E-3</v>
      </c>
      <c r="P29" s="5"/>
      <c r="Q29" s="5"/>
      <c r="R29" s="5"/>
      <c r="S29" s="5"/>
    </row>
    <row r="30" spans="1:19" x14ac:dyDescent="0.2">
      <c r="M30" s="5" t="s">
        <v>161</v>
      </c>
      <c r="N30" s="5"/>
      <c r="O30" s="25">
        <f>O23</f>
        <v>12733.333333333332</v>
      </c>
      <c r="P30" s="5"/>
      <c r="Q30" s="5"/>
      <c r="R30" s="5"/>
      <c r="S30" s="5"/>
    </row>
    <row r="31" spans="1:19" x14ac:dyDescent="0.2">
      <c r="M31" s="5" t="s">
        <v>160</v>
      </c>
      <c r="N31" s="5"/>
      <c r="O31" s="25">
        <f>O28*O29*O30</f>
        <v>39579858.815451026</v>
      </c>
      <c r="P31" s="5"/>
      <c r="Q31" s="5"/>
      <c r="R31" s="5"/>
      <c r="S31" s="5"/>
    </row>
    <row r="32" spans="1:19" ht="17" thickBot="1" x14ac:dyDescent="0.25"/>
    <row r="33" spans="13:19" ht="17" thickBot="1" x14ac:dyDescent="0.25">
      <c r="M33" s="161" t="s">
        <v>246</v>
      </c>
      <c r="N33" s="160"/>
      <c r="O33" s="103">
        <f>O31-I17</f>
        <v>8698958.815451026</v>
      </c>
    </row>
    <row r="35" spans="13:19" x14ac:dyDescent="0.2">
      <c r="M35" s="64" t="s">
        <v>11</v>
      </c>
    </row>
    <row r="36" spans="13:19" x14ac:dyDescent="0.2">
      <c r="M36" s="159" t="s">
        <v>245</v>
      </c>
    </row>
    <row r="37" spans="13:19" x14ac:dyDescent="0.2">
      <c r="M37" s="268" t="s">
        <v>244</v>
      </c>
      <c r="N37" s="268"/>
      <c r="O37" s="268"/>
      <c r="P37" s="268"/>
      <c r="Q37" s="268"/>
      <c r="R37" s="268"/>
      <c r="S37" s="268"/>
    </row>
    <row r="38" spans="13:19" x14ac:dyDescent="0.2">
      <c r="M38" s="268"/>
      <c r="N38" s="268"/>
      <c r="O38" s="268"/>
      <c r="P38" s="268"/>
      <c r="Q38" s="268"/>
      <c r="R38" s="268"/>
      <c r="S38" s="268"/>
    </row>
    <row r="39" spans="13:19" x14ac:dyDescent="0.2">
      <c r="M39" s="99"/>
      <c r="N39" s="99"/>
      <c r="O39" s="99"/>
      <c r="P39" s="99"/>
      <c r="Q39" s="99"/>
      <c r="R39" s="99"/>
      <c r="S39" s="99"/>
    </row>
    <row r="40" spans="13:19" x14ac:dyDescent="0.2">
      <c r="M40" s="159" t="s">
        <v>243</v>
      </c>
    </row>
    <row r="41" spans="13:19" x14ac:dyDescent="0.2">
      <c r="M41" s="255" t="s">
        <v>242</v>
      </c>
      <c r="N41" s="255"/>
      <c r="O41" s="255"/>
      <c r="P41" s="255"/>
      <c r="Q41" s="255"/>
      <c r="R41" s="255"/>
      <c r="S41" s="255"/>
    </row>
    <row r="42" spans="13:19" x14ac:dyDescent="0.2">
      <c r="M42" s="255"/>
      <c r="N42" s="255"/>
      <c r="O42" s="255"/>
      <c r="P42" s="255"/>
      <c r="Q42" s="255"/>
      <c r="R42" s="255"/>
      <c r="S42" s="255"/>
    </row>
    <row r="43" spans="13:19" x14ac:dyDescent="0.2">
      <c r="M43" s="118"/>
      <c r="N43" s="118"/>
      <c r="O43" s="118"/>
      <c r="P43" s="118"/>
      <c r="Q43" s="118"/>
      <c r="R43" s="118"/>
      <c r="S43" s="118"/>
    </row>
    <row r="44" spans="13:19" x14ac:dyDescent="0.2">
      <c r="M44" s="118"/>
      <c r="N44" s="118"/>
      <c r="O44" s="118"/>
      <c r="P44" s="118"/>
      <c r="Q44" s="118"/>
      <c r="R44" s="118"/>
      <c r="S44" s="118"/>
    </row>
    <row r="45" spans="13:19" ht="19" x14ac:dyDescent="0.25">
      <c r="M45" s="72" t="s">
        <v>3</v>
      </c>
    </row>
    <row r="46" spans="13:19" x14ac:dyDescent="0.2">
      <c r="M46" s="255" t="s">
        <v>241</v>
      </c>
      <c r="N46" s="255"/>
      <c r="O46" s="255"/>
      <c r="P46" s="255"/>
      <c r="Q46" s="255"/>
      <c r="R46" s="255"/>
      <c r="S46" s="255"/>
    </row>
    <row r="47" spans="13:19" x14ac:dyDescent="0.2">
      <c r="M47" s="255"/>
      <c r="N47" s="255"/>
      <c r="O47" s="255"/>
      <c r="P47" s="255"/>
      <c r="Q47" s="255"/>
      <c r="R47" s="255"/>
      <c r="S47" s="255"/>
    </row>
    <row r="48" spans="13:19" x14ac:dyDescent="0.2">
      <c r="M48" s="255"/>
      <c r="N48" s="255"/>
      <c r="O48" s="255"/>
      <c r="P48" s="255"/>
      <c r="Q48" s="255"/>
      <c r="R48" s="255"/>
      <c r="S48" s="255"/>
    </row>
    <row r="49" spans="13:19" x14ac:dyDescent="0.2">
      <c r="M49" s="255"/>
      <c r="N49" s="255"/>
      <c r="O49" s="255"/>
      <c r="P49" s="255"/>
      <c r="Q49" s="255"/>
      <c r="R49" s="255"/>
      <c r="S49" s="255"/>
    </row>
    <row r="50" spans="13:19" x14ac:dyDescent="0.2">
      <c r="M50" s="255"/>
      <c r="N50" s="255"/>
      <c r="O50" s="255"/>
      <c r="P50" s="255"/>
      <c r="Q50" s="255"/>
      <c r="R50" s="255"/>
      <c r="S50" s="255"/>
    </row>
    <row r="51" spans="13:19" x14ac:dyDescent="0.2">
      <c r="M51" s="255"/>
      <c r="N51" s="255"/>
      <c r="O51" s="255"/>
      <c r="P51" s="255"/>
      <c r="Q51" s="255"/>
      <c r="R51" s="255"/>
      <c r="S51" s="255"/>
    </row>
    <row r="52" spans="13:19" x14ac:dyDescent="0.2">
      <c r="M52" s="255"/>
      <c r="N52" s="255"/>
      <c r="O52" s="255"/>
      <c r="P52" s="255"/>
      <c r="Q52" s="255"/>
      <c r="R52" s="255"/>
      <c r="S52" s="255"/>
    </row>
    <row r="53" spans="13:19" x14ac:dyDescent="0.2">
      <c r="M53" s="255"/>
      <c r="N53" s="255"/>
      <c r="O53" s="255"/>
      <c r="P53" s="255"/>
      <c r="Q53" s="255"/>
      <c r="R53" s="255"/>
      <c r="S53" s="255"/>
    </row>
    <row r="54" spans="13:19" x14ac:dyDescent="0.2">
      <c r="M54" s="255"/>
      <c r="N54" s="255"/>
      <c r="O54" s="255"/>
      <c r="P54" s="255"/>
      <c r="Q54" s="255"/>
      <c r="R54" s="255"/>
      <c r="S54" s="255"/>
    </row>
    <row r="56" spans="13:19" ht="19" x14ac:dyDescent="0.25">
      <c r="M56" s="72" t="s">
        <v>1</v>
      </c>
    </row>
    <row r="57" spans="13:19" x14ac:dyDescent="0.2">
      <c r="M57" s="1" t="s">
        <v>0</v>
      </c>
    </row>
  </sheetData>
  <mergeCells count="14">
    <mergeCell ref="M3:S5"/>
    <mergeCell ref="F12:G12"/>
    <mergeCell ref="F6:G6"/>
    <mergeCell ref="F7:G7"/>
    <mergeCell ref="F8:G8"/>
    <mergeCell ref="F9:G9"/>
    <mergeCell ref="F10:G10"/>
    <mergeCell ref="F11:G11"/>
    <mergeCell ref="M46:S54"/>
    <mergeCell ref="M41:S42"/>
    <mergeCell ref="M37:S38"/>
    <mergeCell ref="M17:S18"/>
    <mergeCell ref="M23:N23"/>
    <mergeCell ref="M20:S21"/>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AB41-7AA6-7149-A2FB-8C2C2DEB0CF9}">
  <dimension ref="A1:T80"/>
  <sheetViews>
    <sheetView workbookViewId="0">
      <selection activeCell="B1" sqref="B1"/>
    </sheetView>
  </sheetViews>
  <sheetFormatPr baseColWidth="10" defaultColWidth="11" defaultRowHeight="16" outlineLevelCol="1" x14ac:dyDescent="0.2"/>
  <cols>
    <col min="1" max="1" width="4" style="2" customWidth="1"/>
    <col min="2" max="2" width="10.83203125" style="1" customWidth="1"/>
    <col min="3" max="12" width="11" style="1"/>
    <col min="13" max="19" width="0" style="10" hidden="1" customWidth="1" outlineLevel="1"/>
    <col min="20" max="20" width="11" style="10" collapsed="1"/>
    <col min="21" max="16384" width="11" style="1"/>
  </cols>
  <sheetData>
    <row r="1" spans="1:20" x14ac:dyDescent="0.2">
      <c r="A1" s="71"/>
      <c r="B1" s="70" t="s">
        <v>70</v>
      </c>
      <c r="C1" s="69" t="s">
        <v>240</v>
      </c>
      <c r="D1" s="69" t="s">
        <v>68</v>
      </c>
      <c r="E1" s="69" t="s">
        <v>67</v>
      </c>
      <c r="F1" s="68"/>
      <c r="G1" s="68"/>
      <c r="H1" s="68"/>
      <c r="I1" s="68"/>
      <c r="J1" s="68"/>
      <c r="K1" s="67"/>
      <c r="L1" s="64" t="s">
        <v>66</v>
      </c>
      <c r="M1" s="5"/>
      <c r="N1" s="5"/>
      <c r="O1" s="5"/>
      <c r="P1" s="5"/>
      <c r="Q1" s="5"/>
      <c r="R1" s="5"/>
      <c r="S1" s="5"/>
      <c r="T1" s="5"/>
    </row>
    <row r="2" spans="1:20" x14ac:dyDescent="0.2">
      <c r="A2" s="38"/>
      <c r="B2" s="66" t="s">
        <v>65</v>
      </c>
      <c r="C2" s="65">
        <v>2</v>
      </c>
      <c r="D2" s="37"/>
      <c r="E2" s="37"/>
      <c r="F2" s="37"/>
      <c r="G2" s="37"/>
      <c r="H2" s="37"/>
      <c r="I2" s="37"/>
      <c r="J2" s="37"/>
      <c r="K2" s="36"/>
      <c r="M2" s="5"/>
      <c r="N2" s="5"/>
      <c r="O2" s="5"/>
      <c r="P2" s="5"/>
      <c r="Q2" s="5"/>
      <c r="R2" s="5"/>
      <c r="S2" s="5"/>
      <c r="T2" s="5"/>
    </row>
    <row r="3" spans="1:20" x14ac:dyDescent="0.2">
      <c r="A3" s="38"/>
      <c r="B3" s="37"/>
      <c r="C3" s="37"/>
      <c r="D3" s="37"/>
      <c r="E3" s="37"/>
      <c r="F3" s="37"/>
      <c r="G3" s="37"/>
      <c r="H3" s="37"/>
      <c r="I3" s="37"/>
      <c r="J3" s="37"/>
      <c r="K3" s="36"/>
      <c r="M3" s="7" t="s">
        <v>124</v>
      </c>
      <c r="N3" s="7"/>
      <c r="O3" s="7"/>
      <c r="P3" s="7"/>
      <c r="Q3" s="5"/>
      <c r="R3" s="5"/>
      <c r="S3" s="5"/>
      <c r="T3" s="5"/>
    </row>
    <row r="4" spans="1:20" x14ac:dyDescent="0.2">
      <c r="A4" s="38"/>
      <c r="B4" s="37"/>
      <c r="C4" s="37" t="s">
        <v>155</v>
      </c>
      <c r="D4" s="37"/>
      <c r="E4" s="37"/>
      <c r="F4" s="37"/>
      <c r="G4" s="37"/>
      <c r="H4" s="37"/>
      <c r="I4" s="37"/>
      <c r="J4" s="37"/>
      <c r="K4" s="36"/>
      <c r="M4" s="114"/>
      <c r="N4" s="114"/>
      <c r="O4" s="114"/>
      <c r="P4" s="114"/>
      <c r="Q4" s="114"/>
      <c r="R4" s="114"/>
      <c r="S4" s="5"/>
      <c r="T4" s="5"/>
    </row>
    <row r="5" spans="1:20" x14ac:dyDescent="0.2">
      <c r="A5" s="38"/>
      <c r="B5" s="37"/>
      <c r="C5" s="37"/>
      <c r="D5" s="37"/>
      <c r="E5" s="37"/>
      <c r="F5" s="37"/>
      <c r="G5" s="37"/>
      <c r="H5" s="37"/>
      <c r="I5" s="37"/>
      <c r="J5" s="37"/>
      <c r="K5" s="36"/>
      <c r="M5" s="24" t="s">
        <v>21</v>
      </c>
      <c r="P5" s="114"/>
      <c r="Q5" s="114"/>
      <c r="R5" s="114"/>
      <c r="S5" s="5"/>
      <c r="T5" s="5"/>
    </row>
    <row r="6" spans="1:20" ht="16.5" customHeight="1" x14ac:dyDescent="0.2">
      <c r="A6" s="38"/>
      <c r="B6" s="37"/>
      <c r="C6" s="63"/>
      <c r="D6" s="259" t="s">
        <v>238</v>
      </c>
      <c r="E6" s="257"/>
      <c r="F6" s="260"/>
      <c r="G6" s="37"/>
      <c r="H6" s="37"/>
      <c r="I6" s="37"/>
      <c r="J6" s="37"/>
      <c r="K6" s="36"/>
      <c r="M6" s="16" t="s">
        <v>17</v>
      </c>
      <c r="N6" s="112" t="s">
        <v>113</v>
      </c>
      <c r="O6" s="111" t="s">
        <v>112</v>
      </c>
      <c r="P6" s="114"/>
      <c r="Q6" s="114"/>
      <c r="R6" s="114"/>
      <c r="S6" s="5"/>
      <c r="T6" s="5"/>
    </row>
    <row r="7" spans="1:20" ht="16.5" customHeight="1" x14ac:dyDescent="0.2">
      <c r="A7" s="38"/>
      <c r="B7" s="37"/>
      <c r="C7" s="59" t="s">
        <v>55</v>
      </c>
      <c r="D7" s="261" t="s">
        <v>239</v>
      </c>
      <c r="E7" s="258"/>
      <c r="F7" s="262"/>
      <c r="G7" s="37"/>
      <c r="H7" s="37"/>
      <c r="I7" s="37"/>
      <c r="J7" s="37"/>
      <c r="K7" s="36"/>
      <c r="M7" s="11">
        <f>C9</f>
        <v>2014</v>
      </c>
      <c r="N7" s="108">
        <f>E16/D16</f>
        <v>1.1875</v>
      </c>
      <c r="O7" s="108">
        <f>F16/E16</f>
        <v>1.0526315789473684</v>
      </c>
      <c r="P7" s="108"/>
      <c r="Q7" s="108"/>
      <c r="R7" s="108"/>
      <c r="S7" s="5"/>
      <c r="T7" s="5"/>
    </row>
    <row r="8" spans="1:20" x14ac:dyDescent="0.2">
      <c r="A8" s="38"/>
      <c r="B8" s="37"/>
      <c r="C8" s="42" t="s">
        <v>17</v>
      </c>
      <c r="D8" s="54">
        <v>12</v>
      </c>
      <c r="E8" s="42">
        <v>24</v>
      </c>
      <c r="F8" s="42">
        <v>36</v>
      </c>
      <c r="G8" s="37"/>
      <c r="H8" s="37"/>
      <c r="I8" s="37"/>
      <c r="J8" s="37"/>
      <c r="K8" s="36"/>
      <c r="M8" s="11">
        <f>C10</f>
        <v>2015</v>
      </c>
      <c r="N8" s="108">
        <f>E17/D17</f>
        <v>1.1647058823529413</v>
      </c>
      <c r="O8" s="108"/>
      <c r="P8" s="108"/>
      <c r="Q8" s="108"/>
      <c r="R8" s="108"/>
      <c r="S8" s="5"/>
      <c r="T8" s="5"/>
    </row>
    <row r="9" spans="1:20" x14ac:dyDescent="0.2">
      <c r="A9" s="38"/>
      <c r="B9" s="37"/>
      <c r="C9" s="42">
        <v>2014</v>
      </c>
      <c r="D9" s="50">
        <v>68600</v>
      </c>
      <c r="E9" s="50">
        <v>87800</v>
      </c>
      <c r="F9" s="50">
        <v>100000</v>
      </c>
      <c r="G9" s="37"/>
      <c r="H9" s="37"/>
      <c r="I9" s="37"/>
      <c r="J9" s="37"/>
      <c r="K9" s="36"/>
      <c r="T9" s="5"/>
    </row>
    <row r="10" spans="1:20" ht="17" x14ac:dyDescent="0.2">
      <c r="A10" s="38"/>
      <c r="B10" s="37"/>
      <c r="C10" s="51">
        <v>2015</v>
      </c>
      <c r="D10" s="50">
        <v>72800</v>
      </c>
      <c r="E10" s="50">
        <v>91500</v>
      </c>
      <c r="F10" s="51"/>
      <c r="G10" s="37"/>
      <c r="H10" s="37"/>
      <c r="I10" s="37"/>
      <c r="J10" s="37"/>
      <c r="K10" s="36"/>
      <c r="M10" s="16"/>
      <c r="N10" s="112" t="s">
        <v>113</v>
      </c>
      <c r="O10" s="111" t="s">
        <v>112</v>
      </c>
      <c r="P10" s="111" t="s">
        <v>110</v>
      </c>
      <c r="Q10" s="5"/>
      <c r="R10" s="1"/>
      <c r="S10" s="1"/>
      <c r="T10" s="1"/>
    </row>
    <row r="11" spans="1:20" x14ac:dyDescent="0.2">
      <c r="A11" s="38"/>
      <c r="B11" s="37"/>
      <c r="C11" s="51">
        <v>2016</v>
      </c>
      <c r="D11" s="50">
        <v>55900</v>
      </c>
      <c r="E11" s="51"/>
      <c r="F11" s="51"/>
      <c r="G11" s="37"/>
      <c r="H11" s="37"/>
      <c r="I11" s="37"/>
      <c r="J11" s="37"/>
      <c r="K11" s="36"/>
      <c r="M11" s="110" t="s">
        <v>109</v>
      </c>
      <c r="N11" s="108">
        <f>AVERAGE(N7:N8)</f>
        <v>1.1761029411764707</v>
      </c>
      <c r="O11" s="108">
        <f>AVERAGE(O7:O8)</f>
        <v>1.0526315789473684</v>
      </c>
      <c r="P11" s="109">
        <v>1</v>
      </c>
      <c r="Q11" s="5"/>
      <c r="R11" s="1"/>
      <c r="S11" s="1"/>
      <c r="T11" s="1"/>
    </row>
    <row r="12" spans="1:20" x14ac:dyDescent="0.2">
      <c r="A12" s="38"/>
      <c r="B12" s="37"/>
      <c r="C12" s="37"/>
      <c r="D12" s="37"/>
      <c r="E12" s="37"/>
      <c r="F12" s="37"/>
      <c r="G12" s="37"/>
      <c r="H12" s="37"/>
      <c r="I12" s="37"/>
      <c r="J12" s="37"/>
      <c r="K12" s="36"/>
      <c r="M12" s="110" t="s">
        <v>104</v>
      </c>
      <c r="N12" s="109">
        <f>N11*O12</f>
        <v>1.2380030959752324</v>
      </c>
      <c r="O12" s="109">
        <f>O11*P12</f>
        <v>1.0526315789473684</v>
      </c>
      <c r="P12" s="109">
        <f>P11</f>
        <v>1</v>
      </c>
      <c r="Q12" s="5"/>
      <c r="R12" s="1"/>
      <c r="S12" s="1"/>
      <c r="T12" s="1"/>
    </row>
    <row r="13" spans="1:20" x14ac:dyDescent="0.2">
      <c r="A13" s="38"/>
      <c r="B13" s="37"/>
      <c r="C13" s="63"/>
      <c r="D13" s="259" t="s">
        <v>238</v>
      </c>
      <c r="E13" s="257"/>
      <c r="F13" s="260"/>
      <c r="G13" s="37"/>
      <c r="H13" s="37"/>
      <c r="I13" s="37"/>
      <c r="J13" s="37"/>
      <c r="K13" s="36"/>
      <c r="T13" s="5"/>
    </row>
    <row r="14" spans="1:20" x14ac:dyDescent="0.2">
      <c r="A14" s="38"/>
      <c r="B14" s="40"/>
      <c r="C14" s="59" t="s">
        <v>55</v>
      </c>
      <c r="D14" s="261" t="s">
        <v>237</v>
      </c>
      <c r="E14" s="258"/>
      <c r="F14" s="262"/>
      <c r="G14" s="37"/>
      <c r="H14" s="37"/>
      <c r="I14" s="37"/>
      <c r="J14" s="37"/>
      <c r="K14" s="36"/>
      <c r="M14" s="7" t="s">
        <v>118</v>
      </c>
      <c r="N14" s="7"/>
      <c r="O14" s="7"/>
      <c r="P14" s="7"/>
      <c r="Q14" s="114"/>
      <c r="R14" s="114"/>
      <c r="T14" s="5"/>
    </row>
    <row r="15" spans="1:20" x14ac:dyDescent="0.2">
      <c r="A15" s="38"/>
      <c r="B15" s="40"/>
      <c r="C15" s="42" t="s">
        <v>17</v>
      </c>
      <c r="D15" s="54">
        <v>12</v>
      </c>
      <c r="E15" s="42">
        <v>24</v>
      </c>
      <c r="F15" s="42">
        <v>36</v>
      </c>
      <c r="G15" s="37"/>
      <c r="H15" s="37"/>
      <c r="I15" s="37"/>
      <c r="J15" s="37"/>
      <c r="K15" s="36"/>
      <c r="M15" s="7"/>
      <c r="N15" s="7"/>
      <c r="O15" s="7"/>
      <c r="P15" s="7"/>
      <c r="Q15" s="114"/>
      <c r="R15" s="114"/>
      <c r="T15" s="5"/>
    </row>
    <row r="16" spans="1:20" x14ac:dyDescent="0.2">
      <c r="A16" s="38"/>
      <c r="B16" s="40"/>
      <c r="C16" s="42">
        <v>2014</v>
      </c>
      <c r="D16" s="50">
        <v>80</v>
      </c>
      <c r="E16" s="50">
        <v>95</v>
      </c>
      <c r="F16" s="50">
        <v>100</v>
      </c>
      <c r="G16" s="37"/>
      <c r="H16" s="37"/>
      <c r="I16" s="37"/>
      <c r="J16" s="37"/>
      <c r="K16" s="36"/>
      <c r="M16" s="266" t="s">
        <v>236</v>
      </c>
      <c r="N16" s="266"/>
      <c r="O16" s="266"/>
      <c r="P16" s="266"/>
      <c r="Q16" s="114"/>
      <c r="R16" s="114"/>
      <c r="T16" s="5"/>
    </row>
    <row r="17" spans="1:20" x14ac:dyDescent="0.2">
      <c r="A17" s="38"/>
      <c r="B17" s="40"/>
      <c r="C17" s="51">
        <v>2015</v>
      </c>
      <c r="D17" s="50">
        <v>85</v>
      </c>
      <c r="E17" s="50">
        <v>99</v>
      </c>
      <c r="F17" s="51"/>
      <c r="G17" s="37"/>
      <c r="H17" s="37"/>
      <c r="I17" s="37"/>
      <c r="J17" s="37"/>
      <c r="K17" s="36"/>
      <c r="M17" s="24" t="s">
        <v>21</v>
      </c>
      <c r="N17" s="114"/>
      <c r="O17" s="114"/>
      <c r="P17" s="114"/>
      <c r="Q17" s="114"/>
      <c r="R17" s="114"/>
      <c r="S17" s="114"/>
      <c r="T17" s="5"/>
    </row>
    <row r="18" spans="1:20" ht="17" x14ac:dyDescent="0.2">
      <c r="A18" s="38"/>
      <c r="B18" s="40"/>
      <c r="C18" s="51">
        <v>2016</v>
      </c>
      <c r="D18" s="50">
        <v>87</v>
      </c>
      <c r="E18" s="51"/>
      <c r="F18" s="51"/>
      <c r="G18" s="37"/>
      <c r="H18" s="37"/>
      <c r="I18" s="37"/>
      <c r="J18" s="37"/>
      <c r="K18" s="36"/>
      <c r="M18" s="16" t="s">
        <v>17</v>
      </c>
      <c r="N18" s="111">
        <v>12</v>
      </c>
      <c r="O18" s="111">
        <v>24</v>
      </c>
      <c r="P18" s="111">
        <v>36</v>
      </c>
      <c r="Q18" s="114"/>
      <c r="R18" s="114"/>
      <c r="S18" s="114"/>
      <c r="T18" s="5"/>
    </row>
    <row r="19" spans="1:20" x14ac:dyDescent="0.2">
      <c r="A19" s="38"/>
      <c r="B19" s="40"/>
      <c r="C19" s="37"/>
      <c r="D19" s="37"/>
      <c r="E19" s="37"/>
      <c r="F19" s="37"/>
      <c r="G19" s="37"/>
      <c r="H19" s="37"/>
      <c r="I19" s="37"/>
      <c r="J19" s="37"/>
      <c r="K19" s="36"/>
      <c r="M19" s="11">
        <f>C9</f>
        <v>2014</v>
      </c>
      <c r="N19" s="158">
        <f>D9/D16*(1-0.25)</f>
        <v>643.125</v>
      </c>
      <c r="O19" s="158">
        <f>E9/E16*(1-0.25)</f>
        <v>693.15789473684208</v>
      </c>
      <c r="P19" s="158">
        <f>F9/F16*(1-0.25)</f>
        <v>750</v>
      </c>
      <c r="Q19" s="114"/>
      <c r="R19" s="114"/>
      <c r="S19" s="114"/>
      <c r="T19" s="9"/>
    </row>
    <row r="20" spans="1:20" x14ac:dyDescent="0.2">
      <c r="A20" s="38"/>
      <c r="B20" s="40"/>
      <c r="C20" s="37" t="s">
        <v>235</v>
      </c>
      <c r="D20" s="37"/>
      <c r="E20" s="37"/>
      <c r="F20" s="37"/>
      <c r="G20" s="37"/>
      <c r="H20" s="37"/>
      <c r="I20" s="37"/>
      <c r="J20" s="37"/>
      <c r="K20" s="36"/>
      <c r="M20" s="11">
        <f>C10</f>
        <v>2015</v>
      </c>
      <c r="N20" s="158">
        <f>D10/D17*(1-0.25)</f>
        <v>642.35294117647061</v>
      </c>
      <c r="O20" s="158">
        <f>E10/E17*(1-0.25)</f>
        <v>693.18181818181824</v>
      </c>
      <c r="P20" s="9"/>
      <c r="Q20" s="114"/>
      <c r="R20" s="114"/>
      <c r="S20" s="114"/>
      <c r="T20" s="9"/>
    </row>
    <row r="21" spans="1:20" x14ac:dyDescent="0.2">
      <c r="A21" s="38"/>
      <c r="B21" s="40"/>
      <c r="C21" s="37" t="s">
        <v>234</v>
      </c>
      <c r="D21" s="37"/>
      <c r="E21" s="37"/>
      <c r="F21" s="37"/>
      <c r="G21" s="37"/>
      <c r="H21" s="37"/>
      <c r="I21" s="37"/>
      <c r="J21" s="37"/>
      <c r="K21" s="36"/>
      <c r="M21" s="11">
        <f>C11</f>
        <v>2016</v>
      </c>
      <c r="N21" s="9">
        <f>D11/D18</f>
        <v>642.52873563218395</v>
      </c>
      <c r="O21" s="9"/>
      <c r="P21" s="9"/>
      <c r="Q21" s="9"/>
      <c r="R21" s="9"/>
      <c r="S21" s="9"/>
      <c r="T21" s="9"/>
    </row>
    <row r="22" spans="1:20" x14ac:dyDescent="0.2">
      <c r="A22" s="38"/>
      <c r="B22" s="40"/>
      <c r="C22" s="37" t="s">
        <v>233</v>
      </c>
      <c r="D22" s="37"/>
      <c r="E22" s="37"/>
      <c r="F22" s="37"/>
      <c r="G22" s="37"/>
      <c r="H22" s="37"/>
      <c r="I22" s="37"/>
      <c r="J22" s="37"/>
      <c r="K22" s="36"/>
      <c r="M22" s="9"/>
      <c r="N22" s="9"/>
      <c r="O22" s="9"/>
      <c r="P22" s="9"/>
      <c r="Q22" s="9"/>
      <c r="R22" s="9"/>
      <c r="S22" s="9"/>
      <c r="T22" s="9"/>
    </row>
    <row r="23" spans="1:20" x14ac:dyDescent="0.2">
      <c r="A23" s="38"/>
      <c r="B23" s="40"/>
      <c r="C23" s="37" t="s">
        <v>232</v>
      </c>
      <c r="D23" s="37"/>
      <c r="E23" s="37"/>
      <c r="F23" s="37"/>
      <c r="G23" s="37"/>
      <c r="H23" s="37"/>
      <c r="I23" s="37"/>
      <c r="J23" s="37"/>
      <c r="K23" s="36"/>
      <c r="M23" s="24" t="s">
        <v>21</v>
      </c>
      <c r="P23" s="114"/>
      <c r="Q23" s="114"/>
      <c r="R23" s="114"/>
      <c r="S23" s="5"/>
      <c r="T23" s="5"/>
    </row>
    <row r="24" spans="1:20" ht="17" x14ac:dyDescent="0.2">
      <c r="A24" s="38"/>
      <c r="B24" s="37"/>
      <c r="C24" s="37"/>
      <c r="D24" s="37"/>
      <c r="E24" s="37"/>
      <c r="F24" s="37"/>
      <c r="G24" s="37"/>
      <c r="H24" s="37"/>
      <c r="I24" s="37"/>
      <c r="J24" s="37"/>
      <c r="K24" s="36"/>
      <c r="M24" s="16" t="s">
        <v>17</v>
      </c>
      <c r="N24" s="112" t="s">
        <v>113</v>
      </c>
      <c r="O24" s="111" t="s">
        <v>112</v>
      </c>
      <c r="P24" s="114"/>
      <c r="Q24" s="114"/>
      <c r="R24" s="114"/>
      <c r="S24" s="5"/>
      <c r="T24" s="5"/>
    </row>
    <row r="25" spans="1:20" x14ac:dyDescent="0.2">
      <c r="A25" s="38"/>
      <c r="B25" s="37"/>
      <c r="C25" s="91" t="s">
        <v>231</v>
      </c>
      <c r="D25" s="37"/>
      <c r="E25" s="37"/>
      <c r="F25" s="37"/>
      <c r="G25" s="37"/>
      <c r="H25" s="37"/>
      <c r="I25" s="37"/>
      <c r="J25" s="37"/>
      <c r="K25" s="36"/>
      <c r="M25" s="11">
        <f>M7</f>
        <v>2014</v>
      </c>
      <c r="N25" s="108">
        <f>O19/N19</f>
        <v>1.0777965321466931</v>
      </c>
      <c r="O25" s="108">
        <f>P19/O19</f>
        <v>1.0820045558086562</v>
      </c>
      <c r="P25" s="114"/>
      <c r="Q25" s="114"/>
      <c r="R25" s="114"/>
      <c r="S25" s="5"/>
      <c r="T25" s="5"/>
    </row>
    <row r="26" spans="1:20" ht="17" thickBot="1" x14ac:dyDescent="0.25">
      <c r="A26" s="38"/>
      <c r="B26" s="37"/>
      <c r="C26" s="91"/>
      <c r="D26" s="37"/>
      <c r="E26" s="37"/>
      <c r="F26" s="37"/>
      <c r="G26" s="37"/>
      <c r="H26" s="37"/>
      <c r="I26" s="37"/>
      <c r="J26" s="37"/>
      <c r="K26" s="36"/>
      <c r="M26" s="11">
        <f>M8</f>
        <v>2015</v>
      </c>
      <c r="N26" s="108">
        <f>O20/N20</f>
        <v>1.0791292041292042</v>
      </c>
      <c r="O26" s="108"/>
      <c r="P26" s="108"/>
      <c r="Q26" s="108"/>
      <c r="R26" s="108"/>
      <c r="S26" s="5"/>
    </row>
    <row r="27" spans="1:20" ht="17" thickBot="1" x14ac:dyDescent="0.25">
      <c r="A27" s="35" t="s">
        <v>32</v>
      </c>
      <c r="B27" s="33"/>
      <c r="C27" s="34"/>
      <c r="D27" s="33"/>
      <c r="E27" s="33"/>
      <c r="F27" s="33"/>
      <c r="G27" s="33"/>
      <c r="H27" s="33"/>
      <c r="I27" s="33"/>
      <c r="J27" s="33"/>
      <c r="K27" s="32"/>
    </row>
    <row r="28" spans="1:20" ht="17" x14ac:dyDescent="0.2">
      <c r="M28" s="16"/>
      <c r="N28" s="112" t="s">
        <v>113</v>
      </c>
      <c r="O28" s="111" t="s">
        <v>112</v>
      </c>
      <c r="P28" s="111" t="s">
        <v>110</v>
      </c>
      <c r="R28" s="1"/>
      <c r="S28" s="1"/>
      <c r="T28" s="1"/>
    </row>
    <row r="29" spans="1:20" x14ac:dyDescent="0.2">
      <c r="M29" s="110" t="s">
        <v>109</v>
      </c>
      <c r="N29" s="108">
        <f>AVERAGE(N25:N26)</f>
        <v>1.0784628681379487</v>
      </c>
      <c r="O29" s="108">
        <f>AVERAGE(O25:O26)</f>
        <v>1.0820045558086562</v>
      </c>
      <c r="P29" s="108">
        <v>1</v>
      </c>
      <c r="R29" s="1"/>
      <c r="S29" s="1"/>
      <c r="T29" s="1"/>
    </row>
    <row r="30" spans="1:20" x14ac:dyDescent="0.2">
      <c r="M30" s="110" t="s">
        <v>104</v>
      </c>
      <c r="N30" s="109">
        <f>N29*O30</f>
        <v>1.1669017365957306</v>
      </c>
      <c r="O30" s="109">
        <f>O29*P30</f>
        <v>1.0820045558086562</v>
      </c>
      <c r="P30" s="109">
        <f>P29</f>
        <v>1</v>
      </c>
      <c r="R30" s="1"/>
      <c r="S30" s="1"/>
      <c r="T30" s="1"/>
    </row>
    <row r="31" spans="1:20" x14ac:dyDescent="0.2">
      <c r="M31" s="5"/>
      <c r="N31" s="5"/>
      <c r="O31" s="5"/>
      <c r="P31" s="5"/>
      <c r="Q31" s="5"/>
      <c r="R31" s="5"/>
      <c r="S31" s="5"/>
    </row>
    <row r="32" spans="1:20" x14ac:dyDescent="0.2">
      <c r="M32" s="5" t="s">
        <v>101</v>
      </c>
      <c r="N32" s="5"/>
      <c r="O32" s="5"/>
      <c r="P32" s="5"/>
      <c r="Q32" s="5"/>
      <c r="R32" s="5"/>
      <c r="S32" s="5"/>
    </row>
    <row r="33" spans="13:20" x14ac:dyDescent="0.2">
      <c r="M33" s="5"/>
      <c r="N33" s="5"/>
      <c r="O33" s="5"/>
      <c r="P33" s="5"/>
      <c r="Q33" s="5"/>
      <c r="R33" s="5"/>
      <c r="S33" s="5"/>
      <c r="T33" s="5"/>
    </row>
    <row r="34" spans="13:20" x14ac:dyDescent="0.2">
      <c r="M34" s="5" t="s">
        <v>164</v>
      </c>
      <c r="N34" s="5"/>
      <c r="O34" s="5"/>
      <c r="P34" s="5"/>
      <c r="Q34" s="5"/>
      <c r="R34" s="5"/>
      <c r="S34" s="5"/>
      <c r="T34" s="5"/>
    </row>
    <row r="35" spans="13:20" x14ac:dyDescent="0.2">
      <c r="M35" s="5" t="s">
        <v>230</v>
      </c>
      <c r="N35" s="5"/>
      <c r="O35" s="25">
        <f>D18*N12</f>
        <v>107.70626934984521</v>
      </c>
      <c r="P35" s="5"/>
      <c r="Q35" s="5"/>
      <c r="R35" s="5"/>
      <c r="S35" s="5"/>
      <c r="T35" s="5"/>
    </row>
    <row r="36" spans="13:20" ht="17" thickBot="1" x14ac:dyDescent="0.25">
      <c r="M36" s="5" t="s">
        <v>229</v>
      </c>
      <c r="N36" s="5"/>
      <c r="O36" s="25">
        <f>N21*N30</f>
        <v>749.76789742185451</v>
      </c>
      <c r="P36" s="5"/>
      <c r="Q36" s="5"/>
      <c r="R36" s="5"/>
      <c r="S36" s="5"/>
      <c r="T36" s="5"/>
    </row>
    <row r="37" spans="13:20" ht="17" thickBot="1" x14ac:dyDescent="0.25">
      <c r="M37" s="105" t="s">
        <v>97</v>
      </c>
      <c r="N37" s="104"/>
      <c r="O37" s="103">
        <f>O35*O36</f>
        <v>80754.703109585374</v>
      </c>
      <c r="P37" s="5"/>
      <c r="Q37" s="5"/>
      <c r="R37" s="5"/>
      <c r="S37" s="5"/>
      <c r="T37" s="5"/>
    </row>
    <row r="38" spans="13:20" x14ac:dyDescent="0.2">
      <c r="M38" s="5"/>
      <c r="N38" s="5"/>
      <c r="O38" s="5"/>
      <c r="P38" s="5"/>
      <c r="Q38" s="5"/>
      <c r="R38" s="5"/>
      <c r="S38" s="5"/>
      <c r="T38" s="5"/>
    </row>
    <row r="39" spans="13:20" x14ac:dyDescent="0.2">
      <c r="M39" s="5"/>
      <c r="N39" s="5"/>
      <c r="O39" s="5"/>
      <c r="P39" s="5"/>
      <c r="Q39" s="5"/>
      <c r="R39" s="5"/>
      <c r="S39" s="5"/>
      <c r="T39" s="5"/>
    </row>
    <row r="40" spans="13:20" ht="19" x14ac:dyDescent="0.25">
      <c r="M40" s="101" t="s">
        <v>3</v>
      </c>
      <c r="N40" s="5"/>
      <c r="O40" s="5"/>
      <c r="P40" s="5"/>
      <c r="Q40" s="5"/>
      <c r="R40" s="5"/>
      <c r="S40" s="5"/>
      <c r="T40" s="5"/>
    </row>
    <row r="41" spans="13:20" x14ac:dyDescent="0.2">
      <c r="M41" s="267" t="s">
        <v>228</v>
      </c>
      <c r="N41" s="267"/>
      <c r="O41" s="267"/>
      <c r="P41" s="267"/>
      <c r="Q41" s="267"/>
      <c r="R41" s="267"/>
      <c r="S41" s="267"/>
      <c r="T41" s="5"/>
    </row>
    <row r="42" spans="13:20" x14ac:dyDescent="0.2">
      <c r="M42" s="267"/>
      <c r="N42" s="267"/>
      <c r="O42" s="267"/>
      <c r="P42" s="267"/>
      <c r="Q42" s="267"/>
      <c r="R42" s="267"/>
      <c r="S42" s="267"/>
      <c r="T42" s="5"/>
    </row>
    <row r="43" spans="13:20" x14ac:dyDescent="0.2">
      <c r="M43" s="5"/>
      <c r="N43" s="5"/>
      <c r="O43" s="5"/>
      <c r="P43" s="5"/>
      <c r="Q43" s="5"/>
      <c r="R43" s="5"/>
      <c r="S43" s="5"/>
      <c r="T43" s="5"/>
    </row>
    <row r="44" spans="13:20" ht="19" x14ac:dyDescent="0.25">
      <c r="M44" s="101" t="s">
        <v>1</v>
      </c>
      <c r="N44" s="5"/>
      <c r="O44" s="5"/>
      <c r="P44" s="5"/>
      <c r="Q44" s="5"/>
      <c r="R44" s="5"/>
      <c r="S44" s="5"/>
      <c r="T44" s="5"/>
    </row>
    <row r="45" spans="13:20" x14ac:dyDescent="0.2">
      <c r="M45" s="5" t="s">
        <v>95</v>
      </c>
      <c r="N45" s="5"/>
      <c r="O45" s="5"/>
      <c r="P45" s="5"/>
      <c r="Q45" s="5"/>
      <c r="R45" s="5"/>
      <c r="S45" s="5"/>
      <c r="T45" s="5"/>
    </row>
    <row r="46" spans="13:20" x14ac:dyDescent="0.2">
      <c r="M46" s="5"/>
      <c r="N46" s="5"/>
      <c r="O46" s="5"/>
      <c r="P46" s="5"/>
      <c r="Q46" s="5"/>
      <c r="R46" s="5"/>
      <c r="S46" s="5"/>
      <c r="T46" s="5"/>
    </row>
    <row r="47" spans="13:20" x14ac:dyDescent="0.2">
      <c r="M47" s="5"/>
      <c r="N47" s="5"/>
      <c r="O47" s="5"/>
      <c r="P47" s="5"/>
      <c r="Q47" s="5"/>
      <c r="R47" s="5"/>
      <c r="S47" s="5"/>
      <c r="T47" s="5"/>
    </row>
    <row r="48" spans="13:20" x14ac:dyDescent="0.2">
      <c r="M48" s="5"/>
      <c r="N48" s="5"/>
      <c r="O48" s="5"/>
      <c r="P48" s="5"/>
      <c r="Q48" s="5"/>
      <c r="R48" s="5"/>
      <c r="S48" s="5"/>
      <c r="T48" s="5"/>
    </row>
    <row r="49" spans="13:20" x14ac:dyDescent="0.2">
      <c r="M49" s="5"/>
      <c r="N49" s="5"/>
      <c r="O49" s="5"/>
      <c r="P49" s="5"/>
      <c r="Q49" s="5"/>
      <c r="R49" s="5"/>
      <c r="S49" s="5"/>
      <c r="T49" s="5"/>
    </row>
    <row r="50" spans="13:20" x14ac:dyDescent="0.2">
      <c r="M50" s="5"/>
      <c r="N50" s="5"/>
      <c r="O50" s="5"/>
      <c r="P50" s="5"/>
      <c r="Q50" s="5"/>
      <c r="R50" s="5"/>
      <c r="S50" s="5"/>
      <c r="T50" s="5"/>
    </row>
    <row r="51" spans="13:20" x14ac:dyDescent="0.2">
      <c r="M51" s="5"/>
      <c r="N51" s="157"/>
      <c r="O51" s="5"/>
      <c r="P51" s="5"/>
      <c r="Q51" s="5"/>
      <c r="R51" s="5"/>
      <c r="S51" s="5"/>
      <c r="T51" s="5"/>
    </row>
    <row r="52" spans="13:20" x14ac:dyDescent="0.2">
      <c r="M52" s="5"/>
      <c r="N52" s="157"/>
      <c r="O52" s="5"/>
      <c r="P52" s="5"/>
      <c r="Q52" s="5"/>
      <c r="R52" s="5"/>
      <c r="S52" s="5"/>
      <c r="T52" s="5"/>
    </row>
    <row r="53" spans="13:20" x14ac:dyDescent="0.2">
      <c r="M53" s="5"/>
      <c r="N53" s="157"/>
      <c r="O53" s="5"/>
      <c r="P53" s="5"/>
      <c r="Q53" s="5"/>
      <c r="R53" s="5"/>
      <c r="S53" s="5"/>
      <c r="T53" s="5"/>
    </row>
    <row r="54" spans="13:20" x14ac:dyDescent="0.2">
      <c r="M54" s="5"/>
      <c r="N54" s="157"/>
      <c r="O54" s="5"/>
      <c r="P54" s="5"/>
      <c r="Q54" s="5"/>
      <c r="R54" s="5"/>
      <c r="S54" s="5"/>
      <c r="T54" s="5"/>
    </row>
    <row r="55" spans="13:20" x14ac:dyDescent="0.2">
      <c r="M55" s="5"/>
      <c r="N55" s="157"/>
      <c r="O55" s="5"/>
      <c r="P55" s="5"/>
      <c r="Q55" s="5"/>
      <c r="R55" s="5"/>
      <c r="S55" s="5"/>
      <c r="T55" s="5"/>
    </row>
    <row r="56" spans="13:20" x14ac:dyDescent="0.2">
      <c r="M56" s="5"/>
      <c r="N56" s="157"/>
      <c r="O56" s="5"/>
      <c r="P56" s="5"/>
      <c r="Q56" s="5"/>
      <c r="R56" s="5"/>
      <c r="S56" s="5"/>
      <c r="T56" s="5"/>
    </row>
    <row r="57" spans="13:20" x14ac:dyDescent="0.2">
      <c r="M57" s="5"/>
      <c r="N57" s="157"/>
      <c r="O57" s="5"/>
      <c r="P57" s="5"/>
      <c r="Q57" s="5"/>
      <c r="R57" s="5"/>
      <c r="S57" s="5"/>
      <c r="T57" s="5"/>
    </row>
    <row r="58" spans="13:20" x14ac:dyDescent="0.2">
      <c r="M58" s="5"/>
      <c r="N58" s="157"/>
      <c r="O58" s="5"/>
      <c r="P58" s="5"/>
      <c r="Q58" s="5"/>
      <c r="R58" s="5"/>
      <c r="S58" s="5"/>
      <c r="T58" s="5"/>
    </row>
    <row r="59" spans="13:20" x14ac:dyDescent="0.2">
      <c r="M59" s="5"/>
      <c r="N59" s="157"/>
      <c r="O59" s="5"/>
      <c r="P59" s="5"/>
      <c r="Q59" s="5"/>
      <c r="R59" s="5"/>
      <c r="S59" s="5"/>
      <c r="T59" s="5"/>
    </row>
    <row r="60" spans="13:20" x14ac:dyDescent="0.2">
      <c r="M60" s="5"/>
      <c r="N60" s="157"/>
      <c r="O60" s="5"/>
      <c r="P60" s="5"/>
      <c r="Q60" s="5"/>
      <c r="R60" s="5"/>
      <c r="S60" s="5"/>
      <c r="T60" s="5"/>
    </row>
    <row r="61" spans="13:20" x14ac:dyDescent="0.2">
      <c r="M61" s="5"/>
      <c r="N61" s="157"/>
      <c r="O61" s="5"/>
      <c r="P61" s="5"/>
      <c r="Q61" s="5"/>
      <c r="R61" s="5"/>
      <c r="S61" s="5"/>
      <c r="T61" s="5"/>
    </row>
    <row r="62" spans="13:20" x14ac:dyDescent="0.2">
      <c r="M62" s="5"/>
      <c r="N62" s="157"/>
      <c r="O62" s="5"/>
      <c r="P62" s="5"/>
      <c r="Q62" s="5"/>
      <c r="R62" s="5"/>
      <c r="S62" s="5"/>
      <c r="T62" s="5"/>
    </row>
    <row r="63" spans="13:20" x14ac:dyDescent="0.2">
      <c r="M63" s="5"/>
      <c r="N63" s="157"/>
      <c r="O63" s="5"/>
      <c r="P63" s="5"/>
      <c r="Q63" s="5"/>
      <c r="R63" s="5"/>
      <c r="S63" s="5"/>
      <c r="T63" s="5"/>
    </row>
    <row r="64" spans="13:20" x14ac:dyDescent="0.2">
      <c r="M64" s="5"/>
      <c r="N64" s="157"/>
      <c r="O64" s="5"/>
      <c r="P64" s="5"/>
      <c r="Q64" s="5"/>
      <c r="R64" s="5"/>
      <c r="S64" s="5"/>
      <c r="T64" s="5"/>
    </row>
    <row r="65" spans="13:20" x14ac:dyDescent="0.2">
      <c r="M65" s="157"/>
      <c r="N65" s="5"/>
      <c r="O65" s="5"/>
      <c r="P65" s="5"/>
      <c r="Q65" s="5"/>
      <c r="R65" s="5"/>
      <c r="S65" s="5"/>
      <c r="T65" s="5"/>
    </row>
    <row r="66" spans="13:20" x14ac:dyDescent="0.2">
      <c r="M66" s="157"/>
      <c r="N66" s="5"/>
      <c r="O66" s="5"/>
      <c r="P66" s="5"/>
      <c r="Q66" s="5"/>
      <c r="R66" s="5"/>
      <c r="S66" s="5"/>
      <c r="T66" s="5"/>
    </row>
    <row r="67" spans="13:20" x14ac:dyDescent="0.2">
      <c r="M67" s="157"/>
      <c r="N67" s="5"/>
      <c r="O67" s="5"/>
      <c r="P67" s="5"/>
      <c r="Q67" s="5"/>
      <c r="R67" s="5"/>
      <c r="S67" s="5"/>
      <c r="T67" s="5"/>
    </row>
    <row r="68" spans="13:20" x14ac:dyDescent="0.2">
      <c r="M68" s="5"/>
      <c r="N68" s="157"/>
      <c r="O68" s="5"/>
      <c r="P68" s="5"/>
      <c r="Q68" s="5"/>
      <c r="R68" s="5"/>
      <c r="S68" s="5"/>
      <c r="T68" s="5"/>
    </row>
    <row r="69" spans="13:20" x14ac:dyDescent="0.2">
      <c r="M69" s="5"/>
      <c r="N69" s="157"/>
      <c r="O69" s="5"/>
      <c r="P69" s="5"/>
      <c r="Q69" s="5"/>
      <c r="R69" s="5"/>
      <c r="S69" s="5"/>
      <c r="T69" s="5"/>
    </row>
    <row r="70" spans="13:20" x14ac:dyDescent="0.2">
      <c r="M70" s="5"/>
      <c r="N70" s="157"/>
      <c r="O70" s="5"/>
      <c r="P70" s="5"/>
      <c r="Q70" s="5"/>
      <c r="R70" s="5"/>
      <c r="S70" s="5"/>
    </row>
    <row r="71" spans="13:20" x14ac:dyDescent="0.2">
      <c r="M71" s="157"/>
      <c r="N71" s="5"/>
      <c r="O71" s="5"/>
      <c r="P71" s="5"/>
      <c r="Q71" s="5"/>
      <c r="R71" s="5"/>
      <c r="S71" s="5"/>
    </row>
    <row r="72" spans="13:20" x14ac:dyDescent="0.2">
      <c r="M72" s="5"/>
      <c r="N72" s="5"/>
      <c r="O72" s="5"/>
      <c r="P72" s="157"/>
      <c r="Q72" s="5"/>
      <c r="R72" s="5"/>
      <c r="S72" s="5"/>
    </row>
    <row r="73" spans="13:20" x14ac:dyDescent="0.2">
      <c r="M73" s="5"/>
      <c r="N73" s="5"/>
      <c r="O73" s="5"/>
      <c r="P73" s="157"/>
      <c r="Q73" s="5"/>
      <c r="R73" s="5"/>
      <c r="S73" s="5"/>
    </row>
    <row r="74" spans="13:20" x14ac:dyDescent="0.2">
      <c r="M74" s="5"/>
      <c r="N74" s="5"/>
      <c r="O74" s="5"/>
      <c r="P74" s="157"/>
      <c r="Q74" s="5"/>
      <c r="R74" s="5"/>
      <c r="S74" s="5"/>
    </row>
    <row r="75" spans="13:20" x14ac:dyDescent="0.2">
      <c r="M75" s="5"/>
      <c r="N75" s="5"/>
      <c r="O75" s="5"/>
      <c r="P75" s="157"/>
      <c r="Q75" s="5"/>
      <c r="R75" s="5"/>
      <c r="S75" s="5"/>
    </row>
    <row r="76" spans="13:20" x14ac:dyDescent="0.2">
      <c r="M76" s="5"/>
      <c r="N76" s="5"/>
      <c r="O76" s="5"/>
      <c r="P76" s="157"/>
      <c r="Q76" s="5"/>
      <c r="R76" s="5"/>
      <c r="S76" s="5"/>
    </row>
    <row r="77" spans="13:20" x14ac:dyDescent="0.2">
      <c r="M77" s="5"/>
      <c r="N77" s="5"/>
      <c r="O77" s="5"/>
      <c r="P77" s="157"/>
      <c r="Q77" s="5"/>
      <c r="R77" s="5"/>
      <c r="S77" s="5"/>
    </row>
    <row r="78" spans="13:20" x14ac:dyDescent="0.2">
      <c r="M78" s="5"/>
      <c r="N78" s="5"/>
      <c r="O78" s="5"/>
      <c r="P78" s="157"/>
      <c r="Q78" s="5"/>
      <c r="R78" s="5"/>
      <c r="S78" s="5"/>
    </row>
    <row r="79" spans="13:20" x14ac:dyDescent="0.2">
      <c r="M79" s="5"/>
      <c r="N79" s="5"/>
      <c r="O79" s="5"/>
      <c r="P79" s="157"/>
      <c r="Q79" s="5"/>
      <c r="R79" s="5"/>
      <c r="S79" s="5"/>
    </row>
    <row r="80" spans="13:20" x14ac:dyDescent="0.2">
      <c r="M80" s="157"/>
      <c r="N80" s="5"/>
      <c r="O80" s="5"/>
      <c r="P80" s="5"/>
      <c r="Q80" s="5"/>
      <c r="R80" s="5"/>
      <c r="S80" s="5"/>
    </row>
  </sheetData>
  <mergeCells count="6">
    <mergeCell ref="M41:S42"/>
    <mergeCell ref="M16:P16"/>
    <mergeCell ref="D6:F6"/>
    <mergeCell ref="D7:F7"/>
    <mergeCell ref="D13:F13"/>
    <mergeCell ref="D14:F14"/>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8989-A029-1545-B713-729C37CD34A6}">
  <dimension ref="A1:V68"/>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1" width="11" style="1"/>
    <col min="12" max="18" width="10.83203125" style="1" hidden="1" customWidth="1" outlineLevel="1"/>
    <col min="19" max="19" width="11" style="1" hidden="1" customWidth="1" outlineLevel="1"/>
    <col min="20" max="20" width="11" style="1" collapsed="1"/>
    <col min="21" max="16384" width="11" style="1"/>
  </cols>
  <sheetData>
    <row r="1" spans="1:19" x14ac:dyDescent="0.2">
      <c r="A1" s="71"/>
      <c r="B1" s="70" t="s">
        <v>70</v>
      </c>
      <c r="C1" s="69" t="s">
        <v>195</v>
      </c>
      <c r="D1" s="69" t="s">
        <v>68</v>
      </c>
      <c r="E1" s="69" t="s">
        <v>129</v>
      </c>
      <c r="F1" s="68"/>
      <c r="G1" s="68"/>
      <c r="H1" s="68"/>
      <c r="I1" s="68"/>
      <c r="J1" s="67"/>
      <c r="K1" s="64" t="s">
        <v>66</v>
      </c>
    </row>
    <row r="2" spans="1:19" x14ac:dyDescent="0.2">
      <c r="A2" s="38"/>
      <c r="B2" s="66" t="s">
        <v>65</v>
      </c>
      <c r="C2" s="65">
        <v>3.25</v>
      </c>
      <c r="D2" s="37"/>
      <c r="E2" s="37"/>
      <c r="F2" s="37"/>
      <c r="G2" s="37"/>
      <c r="H2" s="37"/>
      <c r="I2" s="37"/>
      <c r="J2" s="36"/>
    </row>
    <row r="3" spans="1:19" x14ac:dyDescent="0.2">
      <c r="A3" s="38"/>
      <c r="B3" s="37"/>
      <c r="C3" s="37"/>
      <c r="D3" s="37"/>
      <c r="E3" s="37"/>
      <c r="F3" s="37"/>
      <c r="G3" s="37"/>
      <c r="H3" s="37"/>
      <c r="I3" s="37"/>
      <c r="J3" s="36"/>
      <c r="L3" s="64" t="s">
        <v>64</v>
      </c>
    </row>
    <row r="4" spans="1:19" x14ac:dyDescent="0.2">
      <c r="A4" s="38"/>
      <c r="B4" s="37"/>
      <c r="C4" s="37" t="s">
        <v>227</v>
      </c>
      <c r="D4" s="37"/>
      <c r="E4" s="37"/>
      <c r="F4" s="37"/>
      <c r="G4" s="37"/>
      <c r="H4" s="37"/>
      <c r="I4" s="37"/>
      <c r="J4" s="36"/>
      <c r="L4" s="1" t="s">
        <v>226</v>
      </c>
    </row>
    <row r="5" spans="1:19" x14ac:dyDescent="0.2">
      <c r="A5" s="38"/>
      <c r="B5" s="37"/>
      <c r="C5" s="37"/>
      <c r="D5" s="37"/>
      <c r="E5" s="37"/>
      <c r="F5" s="37"/>
      <c r="G5" s="37"/>
      <c r="H5" s="37"/>
      <c r="I5" s="37"/>
      <c r="J5" s="36"/>
    </row>
    <row r="6" spans="1:19" x14ac:dyDescent="0.2">
      <c r="A6" s="38"/>
      <c r="B6" s="37"/>
      <c r="C6" s="63"/>
      <c r="D6" s="259" t="s">
        <v>225</v>
      </c>
      <c r="E6" s="257"/>
      <c r="F6" s="257"/>
      <c r="G6" s="257"/>
      <c r="H6" s="257"/>
      <c r="I6" s="260"/>
      <c r="J6" s="36"/>
      <c r="L6" s="283" t="s">
        <v>124</v>
      </c>
      <c r="M6" s="283"/>
      <c r="N6" s="283"/>
      <c r="O6" s="283"/>
      <c r="P6" s="283"/>
      <c r="Q6" s="283"/>
      <c r="R6" s="5"/>
      <c r="S6" s="5"/>
    </row>
    <row r="7" spans="1:19" x14ac:dyDescent="0.2">
      <c r="A7" s="38"/>
      <c r="B7" s="37"/>
      <c r="C7" s="59" t="s">
        <v>21</v>
      </c>
      <c r="D7" s="261" t="s">
        <v>224</v>
      </c>
      <c r="E7" s="258"/>
      <c r="F7" s="258"/>
      <c r="G7" s="258"/>
      <c r="H7" s="258"/>
      <c r="I7" s="262"/>
      <c r="J7" s="36"/>
      <c r="L7" s="24" t="s">
        <v>21</v>
      </c>
      <c r="M7" s="10"/>
      <c r="N7" s="10"/>
      <c r="O7" s="10"/>
      <c r="P7" s="10"/>
      <c r="Q7" s="10"/>
      <c r="R7" s="5"/>
      <c r="S7" s="5"/>
    </row>
    <row r="8" spans="1:19" ht="17" x14ac:dyDescent="0.2">
      <c r="A8" s="38"/>
      <c r="B8" s="37"/>
      <c r="C8" s="42" t="s">
        <v>221</v>
      </c>
      <c r="D8" s="54">
        <v>6</v>
      </c>
      <c r="E8" s="42">
        <v>12</v>
      </c>
      <c r="F8" s="42">
        <v>18</v>
      </c>
      <c r="G8" s="42">
        <v>24</v>
      </c>
      <c r="H8" s="42">
        <v>30</v>
      </c>
      <c r="I8" s="42">
        <v>36</v>
      </c>
      <c r="J8" s="36"/>
      <c r="L8" s="16" t="s">
        <v>17</v>
      </c>
      <c r="M8" s="112" t="s">
        <v>211</v>
      </c>
      <c r="N8" s="111" t="s">
        <v>210</v>
      </c>
      <c r="O8" s="111" t="s">
        <v>209</v>
      </c>
      <c r="P8" s="111" t="s">
        <v>208</v>
      </c>
      <c r="Q8" s="111" t="s">
        <v>207</v>
      </c>
      <c r="R8" s="5"/>
      <c r="S8" s="5"/>
    </row>
    <row r="9" spans="1:19" ht="17" x14ac:dyDescent="0.2">
      <c r="A9" s="38"/>
      <c r="B9" s="37"/>
      <c r="C9" s="42" t="s">
        <v>220</v>
      </c>
      <c r="D9" s="50">
        <v>3700</v>
      </c>
      <c r="E9" s="50">
        <v>3515</v>
      </c>
      <c r="F9" s="50">
        <v>3508</v>
      </c>
      <c r="G9" s="50">
        <v>3504</v>
      </c>
      <c r="H9" s="50">
        <v>3504</v>
      </c>
      <c r="I9" s="50">
        <v>3504</v>
      </c>
      <c r="J9" s="36"/>
      <c r="L9" s="11" t="str">
        <f>C9</f>
        <v xml:space="preserve">2014-1 </v>
      </c>
      <c r="M9" s="108">
        <f>E9/D9</f>
        <v>0.95</v>
      </c>
      <c r="N9" s="108">
        <f>F9/E9</f>
        <v>0.99800853485064012</v>
      </c>
      <c r="O9" s="108">
        <f>G9/F9</f>
        <v>0.9988597491448119</v>
      </c>
      <c r="P9" s="108">
        <f>H9/G9</f>
        <v>1</v>
      </c>
      <c r="Q9" s="108">
        <f>I9/H9</f>
        <v>1</v>
      </c>
      <c r="R9" s="5"/>
      <c r="S9" s="5"/>
    </row>
    <row r="10" spans="1:19" ht="17" x14ac:dyDescent="0.2">
      <c r="A10" s="38"/>
      <c r="B10" s="37"/>
      <c r="C10" s="51" t="s">
        <v>219</v>
      </c>
      <c r="D10" s="50">
        <v>4000</v>
      </c>
      <c r="E10" s="50">
        <v>3800</v>
      </c>
      <c r="F10" s="50">
        <v>3792</v>
      </c>
      <c r="G10" s="50">
        <v>3788</v>
      </c>
      <c r="H10" s="50">
        <v>3788</v>
      </c>
      <c r="I10" s="50"/>
      <c r="J10" s="36"/>
      <c r="L10" s="11" t="str">
        <f>C10</f>
        <v>2014-2</v>
      </c>
      <c r="M10" s="108">
        <f>E10/D10</f>
        <v>0.95</v>
      </c>
      <c r="N10" s="108">
        <f>F10/E10</f>
        <v>0.99789473684210528</v>
      </c>
      <c r="O10" s="108">
        <f>G10/F10</f>
        <v>0.99894514767932485</v>
      </c>
      <c r="P10" s="108">
        <f>H10/G10</f>
        <v>1</v>
      </c>
      <c r="Q10" s="108"/>
      <c r="R10" s="5"/>
      <c r="S10" s="5"/>
    </row>
    <row r="11" spans="1:19" ht="17" x14ac:dyDescent="0.2">
      <c r="A11" s="38"/>
      <c r="B11" s="37"/>
      <c r="C11" s="51" t="s">
        <v>218</v>
      </c>
      <c r="D11" s="50">
        <v>3800</v>
      </c>
      <c r="E11" s="50">
        <v>3610</v>
      </c>
      <c r="F11" s="50">
        <v>3603</v>
      </c>
      <c r="G11" s="50">
        <v>3599</v>
      </c>
      <c r="H11" s="50"/>
      <c r="I11" s="50"/>
      <c r="J11" s="36"/>
      <c r="L11" s="11" t="str">
        <f>C11</f>
        <v>2015-1</v>
      </c>
      <c r="M11" s="108">
        <f>E11/D11</f>
        <v>0.95</v>
      </c>
      <c r="N11" s="108">
        <f>F11/E11</f>
        <v>0.99806094182825489</v>
      </c>
      <c r="O11" s="108">
        <f>G11/F11</f>
        <v>0.99888981404385235</v>
      </c>
      <c r="P11" s="108"/>
      <c r="Q11" s="108"/>
      <c r="R11" s="5"/>
      <c r="S11" s="5"/>
    </row>
    <row r="12" spans="1:19" ht="17" x14ac:dyDescent="0.2">
      <c r="A12" s="38"/>
      <c r="B12" s="37"/>
      <c r="C12" s="51" t="s">
        <v>217</v>
      </c>
      <c r="D12" s="50">
        <v>3700</v>
      </c>
      <c r="E12" s="50">
        <v>3515</v>
      </c>
      <c r="F12" s="50">
        <v>3508</v>
      </c>
      <c r="G12" s="50"/>
      <c r="H12" s="50"/>
      <c r="I12" s="50"/>
      <c r="J12" s="36"/>
      <c r="L12" s="11" t="str">
        <f>C12</f>
        <v xml:space="preserve">2015-2 </v>
      </c>
      <c r="M12" s="108">
        <f>E12/D12</f>
        <v>0.95</v>
      </c>
      <c r="N12" s="108">
        <f>F12/E12</f>
        <v>0.99800853485064012</v>
      </c>
      <c r="O12" s="108"/>
      <c r="P12" s="108"/>
      <c r="Q12" s="108"/>
      <c r="R12" s="5"/>
      <c r="S12" s="5"/>
    </row>
    <row r="13" spans="1:19" ht="17" x14ac:dyDescent="0.2">
      <c r="A13" s="38"/>
      <c r="B13" s="40"/>
      <c r="C13" s="51" t="s">
        <v>216</v>
      </c>
      <c r="D13" s="50">
        <v>3900</v>
      </c>
      <c r="E13" s="50">
        <v>3705</v>
      </c>
      <c r="F13" s="50"/>
      <c r="G13" s="50"/>
      <c r="H13" s="50"/>
      <c r="I13" s="50"/>
      <c r="J13" s="36"/>
      <c r="L13" s="11" t="str">
        <f>C13</f>
        <v xml:space="preserve">2016-1 </v>
      </c>
      <c r="M13" s="108">
        <f>E13/D13</f>
        <v>0.95</v>
      </c>
      <c r="N13" s="108"/>
      <c r="O13" s="108"/>
      <c r="P13" s="108"/>
      <c r="Q13" s="108"/>
      <c r="R13" s="5"/>
      <c r="S13" s="5"/>
    </row>
    <row r="14" spans="1:19" x14ac:dyDescent="0.2">
      <c r="A14" s="38"/>
      <c r="B14" s="40"/>
      <c r="C14" s="51" t="s">
        <v>215</v>
      </c>
      <c r="D14" s="50">
        <v>4100</v>
      </c>
      <c r="E14" s="50"/>
      <c r="F14" s="50"/>
      <c r="G14" s="50"/>
      <c r="H14" s="50"/>
      <c r="I14" s="50"/>
      <c r="J14" s="36"/>
      <c r="L14" s="10"/>
      <c r="M14" s="10"/>
      <c r="N14" s="10"/>
      <c r="O14" s="10"/>
      <c r="P14" s="10"/>
      <c r="Q14" s="10"/>
      <c r="R14" s="10"/>
      <c r="S14" s="5"/>
    </row>
    <row r="15" spans="1:19" ht="17" x14ac:dyDescent="0.2">
      <c r="A15" s="38"/>
      <c r="B15" s="40"/>
      <c r="C15" s="37"/>
      <c r="D15" s="37"/>
      <c r="E15" s="37"/>
      <c r="F15" s="37"/>
      <c r="G15" s="37"/>
      <c r="H15" s="37"/>
      <c r="I15" s="37"/>
      <c r="J15" s="36"/>
      <c r="L15" s="16"/>
      <c r="M15" s="112" t="s">
        <v>211</v>
      </c>
      <c r="N15" s="111" t="s">
        <v>210</v>
      </c>
      <c r="O15" s="111" t="s">
        <v>209</v>
      </c>
      <c r="P15" s="111" t="s">
        <v>208</v>
      </c>
      <c r="Q15" s="111" t="s">
        <v>207</v>
      </c>
      <c r="R15" s="111" t="s">
        <v>110</v>
      </c>
      <c r="S15" s="5"/>
    </row>
    <row r="16" spans="1:19" x14ac:dyDescent="0.2">
      <c r="A16" s="38"/>
      <c r="B16" s="40"/>
      <c r="C16" s="63"/>
      <c r="D16" s="259" t="s">
        <v>223</v>
      </c>
      <c r="E16" s="257"/>
      <c r="F16" s="257"/>
      <c r="G16" s="257"/>
      <c r="H16" s="257"/>
      <c r="I16" s="260"/>
      <c r="J16" s="36"/>
      <c r="L16" s="110" t="s">
        <v>109</v>
      </c>
      <c r="M16" s="108">
        <f>AVERAGE(M9:M13)</f>
        <v>0.95</v>
      </c>
      <c r="N16" s="108">
        <f>AVERAGE(N9:N13)</f>
        <v>0.99799318709291007</v>
      </c>
      <c r="O16" s="108">
        <f>AVERAGE(O9:O13)</f>
        <v>0.99889823695599633</v>
      </c>
      <c r="P16" s="108">
        <f>AVERAGE(P9:P13)</f>
        <v>1</v>
      </c>
      <c r="Q16" s="108">
        <f>AVERAGE(Q9:Q13)</f>
        <v>1</v>
      </c>
      <c r="R16" s="109">
        <v>1</v>
      </c>
      <c r="S16" s="5"/>
    </row>
    <row r="17" spans="1:22" x14ac:dyDescent="0.2">
      <c r="A17" s="38"/>
      <c r="B17" s="40"/>
      <c r="C17" s="59" t="s">
        <v>21</v>
      </c>
      <c r="D17" s="261" t="s">
        <v>222</v>
      </c>
      <c r="E17" s="258"/>
      <c r="F17" s="258"/>
      <c r="G17" s="258"/>
      <c r="H17" s="258"/>
      <c r="I17" s="262"/>
      <c r="J17" s="36"/>
      <c r="L17" s="110" t="s">
        <v>104</v>
      </c>
      <c r="M17" s="109">
        <f>M16*N17</f>
        <v>0.94704895332714345</v>
      </c>
      <c r="N17" s="109">
        <f>N16*O17</f>
        <v>0.99689363508120366</v>
      </c>
      <c r="O17" s="109">
        <f>O16*P17</f>
        <v>0.99889823695599633</v>
      </c>
      <c r="P17" s="109">
        <f>P16*Q17</f>
        <v>1</v>
      </c>
      <c r="Q17" s="109">
        <f>Q16*R17</f>
        <v>1</v>
      </c>
      <c r="R17" s="109">
        <f>R16</f>
        <v>1</v>
      </c>
      <c r="S17" s="5"/>
    </row>
    <row r="18" spans="1:22" x14ac:dyDescent="0.2">
      <c r="A18" s="38"/>
      <c r="B18" s="40"/>
      <c r="C18" s="42" t="s">
        <v>221</v>
      </c>
      <c r="D18" s="54">
        <v>6</v>
      </c>
      <c r="E18" s="42">
        <v>12</v>
      </c>
      <c r="F18" s="42">
        <v>18</v>
      </c>
      <c r="G18" s="42">
        <v>24</v>
      </c>
      <c r="H18" s="42">
        <v>30</v>
      </c>
      <c r="I18" s="42">
        <v>36</v>
      </c>
      <c r="J18" s="36"/>
      <c r="L18" s="5"/>
      <c r="M18" s="5"/>
      <c r="N18" s="5"/>
      <c r="O18" s="5"/>
      <c r="P18" s="5"/>
      <c r="Q18" s="5"/>
      <c r="R18" s="5"/>
      <c r="S18" s="5"/>
      <c r="T18" s="5"/>
      <c r="U18" s="5"/>
      <c r="V18" s="5"/>
    </row>
    <row r="19" spans="1:22" x14ac:dyDescent="0.2">
      <c r="A19" s="38"/>
      <c r="B19" s="40"/>
      <c r="C19" s="42" t="s">
        <v>220</v>
      </c>
      <c r="D19" s="50">
        <v>4600</v>
      </c>
      <c r="E19" s="50">
        <v>4637</v>
      </c>
      <c r="F19" s="50">
        <v>4614</v>
      </c>
      <c r="G19" s="50">
        <v>4609</v>
      </c>
      <c r="H19" s="50">
        <v>4609</v>
      </c>
      <c r="I19" s="50">
        <v>4609</v>
      </c>
      <c r="J19" s="36"/>
      <c r="L19" s="266" t="s">
        <v>118</v>
      </c>
      <c r="M19" s="266"/>
      <c r="N19" s="266"/>
      <c r="O19" s="266"/>
      <c r="P19" s="266"/>
      <c r="Q19" s="266"/>
      <c r="R19" s="5"/>
      <c r="S19" s="5"/>
      <c r="T19" s="5"/>
      <c r="U19" s="5"/>
      <c r="V19" s="5"/>
    </row>
    <row r="20" spans="1:22" x14ac:dyDescent="0.2">
      <c r="A20" s="38"/>
      <c r="B20" s="40"/>
      <c r="C20" s="51" t="s">
        <v>219</v>
      </c>
      <c r="D20" s="50">
        <v>4900</v>
      </c>
      <c r="E20" s="50">
        <v>5023</v>
      </c>
      <c r="F20" s="50">
        <v>4998</v>
      </c>
      <c r="G20" s="50">
        <v>4993</v>
      </c>
      <c r="H20" s="50">
        <v>4993</v>
      </c>
      <c r="I20" s="50"/>
      <c r="J20" s="36"/>
      <c r="L20" s="24" t="s">
        <v>21</v>
      </c>
      <c r="M20" s="5"/>
      <c r="N20" s="5"/>
      <c r="O20" s="5"/>
      <c r="P20" s="5"/>
      <c r="Q20" s="5"/>
      <c r="R20" s="5"/>
      <c r="S20" s="5"/>
      <c r="T20" s="5"/>
      <c r="U20" s="5"/>
      <c r="V20" s="5"/>
    </row>
    <row r="21" spans="1:22" ht="17" x14ac:dyDescent="0.2">
      <c r="A21" s="38"/>
      <c r="B21" s="40"/>
      <c r="C21" s="51" t="s">
        <v>218</v>
      </c>
      <c r="D21" s="50">
        <v>4400</v>
      </c>
      <c r="E21" s="50">
        <v>4435</v>
      </c>
      <c r="F21" s="50">
        <v>4413</v>
      </c>
      <c r="G21" s="50">
        <v>4409</v>
      </c>
      <c r="H21" s="50"/>
      <c r="I21" s="50"/>
      <c r="J21" s="36"/>
      <c r="L21" s="16" t="s">
        <v>17</v>
      </c>
      <c r="M21" s="112" t="s">
        <v>211</v>
      </c>
      <c r="N21" s="111" t="s">
        <v>210</v>
      </c>
      <c r="O21" s="111" t="s">
        <v>209</v>
      </c>
      <c r="P21" s="111" t="s">
        <v>208</v>
      </c>
      <c r="Q21" s="111" t="s">
        <v>207</v>
      </c>
      <c r="R21" s="5"/>
      <c r="S21" s="5"/>
      <c r="T21" s="5"/>
      <c r="U21" s="5"/>
      <c r="V21" s="5"/>
    </row>
    <row r="22" spans="1:22" ht="17" x14ac:dyDescent="0.2">
      <c r="A22" s="38"/>
      <c r="B22" s="40"/>
      <c r="C22" s="51" t="s">
        <v>217</v>
      </c>
      <c r="D22" s="50">
        <v>4800</v>
      </c>
      <c r="E22" s="50">
        <v>4920</v>
      </c>
      <c r="F22" s="50">
        <v>4895</v>
      </c>
      <c r="G22" s="50"/>
      <c r="H22" s="50"/>
      <c r="I22" s="50"/>
      <c r="J22" s="36"/>
      <c r="L22" s="11" t="str">
        <f>L9</f>
        <v xml:space="preserve">2014-1 </v>
      </c>
      <c r="M22" s="108">
        <f>E19/D19</f>
        <v>1.0080434782608696</v>
      </c>
      <c r="N22" s="108">
        <f>F19/E19</f>
        <v>0.99503989648479618</v>
      </c>
      <c r="O22" s="108">
        <f>G19/F19</f>
        <v>0.99891634156913744</v>
      </c>
      <c r="P22" s="108">
        <f>H19/G19</f>
        <v>1</v>
      </c>
      <c r="Q22" s="108">
        <f>I19/H19</f>
        <v>1</v>
      </c>
      <c r="R22" s="5"/>
      <c r="S22" s="5"/>
      <c r="T22" s="5"/>
      <c r="U22" s="5"/>
      <c r="V22" s="5"/>
    </row>
    <row r="23" spans="1:22" ht="17" x14ac:dyDescent="0.2">
      <c r="A23" s="38"/>
      <c r="B23" s="37"/>
      <c r="C23" s="51" t="s">
        <v>216</v>
      </c>
      <c r="D23" s="50">
        <v>4600</v>
      </c>
      <c r="E23" s="50">
        <v>4637</v>
      </c>
      <c r="F23" s="50"/>
      <c r="G23" s="50"/>
      <c r="H23" s="50"/>
      <c r="I23" s="50"/>
      <c r="J23" s="36"/>
      <c r="L23" s="11" t="str">
        <f>L10</f>
        <v>2014-2</v>
      </c>
      <c r="M23" s="154">
        <f>E20/D20</f>
        <v>1.0251020408163265</v>
      </c>
      <c r="N23" s="108">
        <f>F20/E20</f>
        <v>0.99502289468445149</v>
      </c>
      <c r="O23" s="108">
        <f>G20/F20</f>
        <v>0.99899959983993603</v>
      </c>
      <c r="P23" s="108">
        <f>H20/G20</f>
        <v>1</v>
      </c>
      <c r="Q23" s="108"/>
      <c r="R23" s="5"/>
      <c r="S23" s="5"/>
      <c r="T23" s="5"/>
      <c r="U23" s="5"/>
      <c r="V23" s="5"/>
    </row>
    <row r="24" spans="1:22" ht="17" x14ac:dyDescent="0.2">
      <c r="A24" s="38"/>
      <c r="B24" s="37"/>
      <c r="C24" s="51" t="s">
        <v>215</v>
      </c>
      <c r="D24" s="50">
        <v>4500</v>
      </c>
      <c r="E24" s="50"/>
      <c r="F24" s="50"/>
      <c r="G24" s="50"/>
      <c r="H24" s="50"/>
      <c r="I24" s="50"/>
      <c r="J24" s="36"/>
      <c r="L24" s="11" t="str">
        <f>L11</f>
        <v>2015-1</v>
      </c>
      <c r="M24" s="108">
        <f>E21/D21</f>
        <v>1.0079545454545455</v>
      </c>
      <c r="N24" s="108">
        <f>F21/E21</f>
        <v>0.9950394588500564</v>
      </c>
      <c r="O24" s="108">
        <f>G21/F21</f>
        <v>0.99909358712893725</v>
      </c>
      <c r="P24" s="108"/>
      <c r="Q24" s="108"/>
      <c r="R24" s="5"/>
      <c r="S24" s="5"/>
      <c r="T24" s="5"/>
      <c r="U24" s="5"/>
      <c r="V24" s="5"/>
    </row>
    <row r="25" spans="1:22" ht="17" x14ac:dyDescent="0.2">
      <c r="A25" s="38"/>
      <c r="B25" s="37"/>
      <c r="C25" s="40"/>
      <c r="D25" s="40"/>
      <c r="E25" s="40"/>
      <c r="F25" s="40"/>
      <c r="G25" s="40"/>
      <c r="H25" s="40"/>
      <c r="I25" s="40"/>
      <c r="J25" s="36"/>
      <c r="L25" s="11" t="str">
        <f>L12</f>
        <v xml:space="preserve">2015-2 </v>
      </c>
      <c r="M25" s="154">
        <f>E22/D22</f>
        <v>1.0249999999999999</v>
      </c>
      <c r="N25" s="108">
        <f>F22/E22</f>
        <v>0.99491869918699183</v>
      </c>
      <c r="O25" s="108"/>
      <c r="P25" s="108"/>
      <c r="Q25" s="108"/>
      <c r="R25" s="5"/>
      <c r="S25" s="5"/>
      <c r="T25" s="5"/>
      <c r="U25" s="5"/>
      <c r="V25" s="5"/>
    </row>
    <row r="26" spans="1:22" ht="17" x14ac:dyDescent="0.2">
      <c r="A26" s="38"/>
      <c r="B26" s="37"/>
      <c r="C26" s="39" t="s">
        <v>214</v>
      </c>
      <c r="D26" s="40"/>
      <c r="E26" s="40"/>
      <c r="F26" s="40"/>
      <c r="G26" s="40"/>
      <c r="H26" s="40"/>
      <c r="I26" s="40"/>
      <c r="J26" s="36"/>
      <c r="L26" s="11" t="str">
        <f>L13</f>
        <v xml:space="preserve">2016-1 </v>
      </c>
      <c r="M26" s="108">
        <f>E23/D23</f>
        <v>1.0080434782608696</v>
      </c>
      <c r="N26" s="108"/>
      <c r="O26" s="108"/>
      <c r="P26" s="108"/>
      <c r="Q26" s="108"/>
      <c r="R26" s="5"/>
      <c r="S26" s="5"/>
      <c r="T26" s="5"/>
      <c r="U26" s="5"/>
      <c r="V26" s="5"/>
    </row>
    <row r="27" spans="1:22" x14ac:dyDescent="0.2">
      <c r="A27" s="38"/>
      <c r="B27" s="37"/>
      <c r="C27" s="40"/>
      <c r="D27" s="40"/>
      <c r="E27" s="40"/>
      <c r="F27" s="40"/>
      <c r="G27" s="40"/>
      <c r="H27" s="40"/>
      <c r="I27" s="40"/>
      <c r="J27" s="36"/>
      <c r="L27" s="5"/>
      <c r="M27" s="5"/>
      <c r="N27" s="5"/>
      <c r="O27" s="5"/>
      <c r="P27" s="5"/>
      <c r="Q27" s="5"/>
      <c r="R27" s="5"/>
      <c r="S27" s="5"/>
      <c r="T27" s="5"/>
      <c r="U27" s="5"/>
      <c r="V27" s="5"/>
    </row>
    <row r="28" spans="1:22" ht="17" x14ac:dyDescent="0.2">
      <c r="A28" s="38" t="s">
        <v>40</v>
      </c>
      <c r="B28" s="37" t="s">
        <v>213</v>
      </c>
      <c r="C28" s="39" t="s">
        <v>212</v>
      </c>
      <c r="D28" s="40"/>
      <c r="E28" s="40"/>
      <c r="F28" s="40"/>
      <c r="G28" s="40"/>
      <c r="H28" s="40"/>
      <c r="I28" s="40"/>
      <c r="J28" s="36"/>
      <c r="L28" s="16"/>
      <c r="M28" s="112" t="s">
        <v>211</v>
      </c>
      <c r="N28" s="111" t="s">
        <v>210</v>
      </c>
      <c r="O28" s="111" t="s">
        <v>209</v>
      </c>
      <c r="P28" s="111" t="s">
        <v>208</v>
      </c>
      <c r="Q28" s="111" t="s">
        <v>207</v>
      </c>
      <c r="R28" s="111" t="s">
        <v>110</v>
      </c>
      <c r="S28" s="5"/>
      <c r="T28" s="5"/>
      <c r="U28" s="5"/>
      <c r="V28" s="5"/>
    </row>
    <row r="29" spans="1:22" x14ac:dyDescent="0.2">
      <c r="A29" s="38"/>
      <c r="B29" s="37"/>
      <c r="C29" s="40"/>
      <c r="D29" s="40"/>
      <c r="E29" s="40"/>
      <c r="F29" s="40"/>
      <c r="G29" s="40"/>
      <c r="H29" s="40"/>
      <c r="I29" s="40"/>
      <c r="J29" s="36"/>
      <c r="L29" s="110" t="s">
        <v>206</v>
      </c>
      <c r="M29" s="154">
        <f>AVERAGE(M22,M24,M26)</f>
        <v>1.008013833992095</v>
      </c>
      <c r="N29" s="108">
        <f>AVERAGE(N22:N26)</f>
        <v>0.99500523730157409</v>
      </c>
      <c r="O29" s="108">
        <f>AVERAGE(O22:O26)</f>
        <v>0.99900317617933698</v>
      </c>
      <c r="P29" s="108">
        <f>AVERAGE(P22:P26)</f>
        <v>1</v>
      </c>
      <c r="Q29" s="108">
        <f>AVERAGE(Q22:Q26)</f>
        <v>1</v>
      </c>
      <c r="R29" s="108">
        <v>1</v>
      </c>
      <c r="S29" s="5"/>
      <c r="T29" s="5"/>
      <c r="U29" s="5"/>
      <c r="V29" s="5"/>
    </row>
    <row r="30" spans="1:22" x14ac:dyDescent="0.2">
      <c r="A30" s="38" t="s">
        <v>36</v>
      </c>
      <c r="B30" s="37" t="s">
        <v>35</v>
      </c>
      <c r="C30" s="39" t="s">
        <v>205</v>
      </c>
      <c r="D30" s="40"/>
      <c r="E30" s="40"/>
      <c r="F30" s="40"/>
      <c r="G30" s="40"/>
      <c r="H30" s="40"/>
      <c r="I30" s="40"/>
      <c r="J30" s="36"/>
      <c r="L30" s="156" t="s">
        <v>204</v>
      </c>
      <c r="M30" s="155">
        <f>M29*N30</f>
        <v>1.0019792506917946</v>
      </c>
      <c r="N30" s="155">
        <f>N29*O30</f>
        <v>0.99401339237934738</v>
      </c>
      <c r="O30" s="155">
        <f>O29*P30</f>
        <v>0.99900317617933698</v>
      </c>
      <c r="P30" s="155">
        <f>P29*Q30</f>
        <v>1</v>
      </c>
      <c r="Q30" s="155">
        <f>Q29*R30</f>
        <v>1</v>
      </c>
      <c r="R30" s="155">
        <f>R29</f>
        <v>1</v>
      </c>
      <c r="S30" s="5"/>
      <c r="T30" s="5"/>
      <c r="U30" s="5"/>
      <c r="V30" s="5"/>
    </row>
    <row r="31" spans="1:22" x14ac:dyDescent="0.2">
      <c r="A31" s="38"/>
      <c r="B31" s="37"/>
      <c r="C31" s="40"/>
      <c r="D31" s="40"/>
      <c r="E31" s="40"/>
      <c r="F31" s="40"/>
      <c r="G31" s="40"/>
      <c r="H31" s="40"/>
      <c r="I31" s="40"/>
      <c r="J31" s="36"/>
      <c r="L31" s="110" t="s">
        <v>203</v>
      </c>
      <c r="M31" s="154">
        <f>AVERAGE(M25,M23)</f>
        <v>1.0250510204081631</v>
      </c>
      <c r="N31" s="108">
        <f>N29</f>
        <v>0.99500523730157409</v>
      </c>
      <c r="O31" s="108">
        <f>O29</f>
        <v>0.99900317617933698</v>
      </c>
      <c r="P31" s="108">
        <f>P29</f>
        <v>1</v>
      </c>
      <c r="Q31" s="108">
        <f>Q29</f>
        <v>1</v>
      </c>
      <c r="R31" s="108">
        <v>1</v>
      </c>
      <c r="S31" s="5"/>
      <c r="T31" s="5"/>
      <c r="U31" s="5"/>
      <c r="V31" s="5"/>
    </row>
    <row r="32" spans="1:22" x14ac:dyDescent="0.2">
      <c r="A32" s="38" t="s">
        <v>173</v>
      </c>
      <c r="B32" s="37" t="s">
        <v>35</v>
      </c>
      <c r="C32" s="39" t="s">
        <v>202</v>
      </c>
      <c r="D32" s="40"/>
      <c r="E32" s="40"/>
      <c r="F32" s="40"/>
      <c r="G32" s="40"/>
      <c r="H32" s="40"/>
      <c r="I32" s="40"/>
      <c r="J32" s="36"/>
      <c r="L32" s="110" t="s">
        <v>201</v>
      </c>
      <c r="M32" s="109">
        <f>M31*N32</f>
        <v>1.0189144421578298</v>
      </c>
      <c r="N32" s="109">
        <f>N31*O32</f>
        <v>0.99401339237934738</v>
      </c>
      <c r="O32" s="109">
        <f>O31*P32</f>
        <v>0.99900317617933698</v>
      </c>
      <c r="P32" s="109">
        <f>P31*Q32</f>
        <v>1</v>
      </c>
      <c r="Q32" s="109">
        <f>Q31*R32</f>
        <v>1</v>
      </c>
      <c r="R32" s="109">
        <f>R31</f>
        <v>1</v>
      </c>
      <c r="S32" s="5"/>
      <c r="T32" s="5"/>
      <c r="U32" s="5"/>
      <c r="V32" s="5"/>
    </row>
    <row r="33" spans="1:22" ht="17" thickBot="1" x14ac:dyDescent="0.25">
      <c r="A33" s="38"/>
      <c r="B33" s="37"/>
      <c r="C33" s="40"/>
      <c r="D33" s="40"/>
      <c r="E33" s="40"/>
      <c r="F33" s="40"/>
      <c r="G33" s="40"/>
      <c r="H33" s="40"/>
      <c r="I33" s="40"/>
      <c r="J33" s="36"/>
      <c r="L33" s="5"/>
      <c r="M33" s="5"/>
      <c r="N33" s="5"/>
      <c r="O33" s="5"/>
      <c r="P33" s="5"/>
      <c r="Q33" s="5"/>
      <c r="R33" s="5"/>
      <c r="S33" s="5"/>
      <c r="T33" s="5"/>
      <c r="U33" s="5"/>
      <c r="V33" s="5"/>
    </row>
    <row r="34" spans="1:22" ht="17" thickBot="1" x14ac:dyDescent="0.25">
      <c r="A34" s="35" t="s">
        <v>32</v>
      </c>
      <c r="B34" s="33"/>
      <c r="C34" s="34"/>
      <c r="D34" s="33"/>
      <c r="E34" s="33"/>
      <c r="F34" s="33"/>
      <c r="G34" s="33"/>
      <c r="H34" s="33"/>
      <c r="I34" s="33"/>
      <c r="J34" s="32"/>
      <c r="L34" s="114" t="s">
        <v>178</v>
      </c>
      <c r="M34" s="5"/>
      <c r="N34" s="5"/>
      <c r="O34" s="5"/>
      <c r="P34" s="5"/>
      <c r="Q34" s="5"/>
      <c r="R34" s="5"/>
      <c r="S34" s="5"/>
      <c r="T34" s="5"/>
      <c r="U34" s="5"/>
      <c r="V34" s="5"/>
    </row>
    <row r="35" spans="1:22" x14ac:dyDescent="0.2">
      <c r="L35" s="256" t="s">
        <v>200</v>
      </c>
      <c r="M35" s="256"/>
      <c r="N35" s="256"/>
      <c r="O35" s="256"/>
      <c r="P35" s="256"/>
      <c r="Q35" s="256"/>
      <c r="R35" s="256"/>
      <c r="S35" s="5"/>
      <c r="T35" s="5"/>
      <c r="U35" s="5"/>
      <c r="V35" s="5"/>
    </row>
    <row r="36" spans="1:22" x14ac:dyDescent="0.2">
      <c r="L36" s="256"/>
      <c r="M36" s="256"/>
      <c r="N36" s="256"/>
      <c r="O36" s="256"/>
      <c r="P36" s="256"/>
      <c r="Q36" s="256"/>
      <c r="R36" s="256"/>
      <c r="S36" s="5"/>
      <c r="T36" s="5"/>
      <c r="U36" s="5"/>
      <c r="V36" s="5"/>
    </row>
    <row r="37" spans="1:22" x14ac:dyDescent="0.2">
      <c r="L37" s="153"/>
      <c r="M37" s="5"/>
      <c r="N37" s="5"/>
      <c r="O37" s="5"/>
      <c r="P37" s="5"/>
      <c r="Q37" s="5"/>
      <c r="R37" s="5"/>
      <c r="S37" s="5"/>
      <c r="T37" s="5"/>
      <c r="U37" s="5"/>
      <c r="V37" s="5"/>
    </row>
    <row r="38" spans="1:22" x14ac:dyDescent="0.2">
      <c r="L38" s="153"/>
      <c r="M38" s="5"/>
      <c r="N38" s="5"/>
      <c r="O38" s="5"/>
      <c r="P38" s="5"/>
      <c r="Q38" s="5"/>
      <c r="R38" s="5"/>
      <c r="S38" s="5"/>
      <c r="T38" s="5"/>
      <c r="U38" s="5"/>
      <c r="V38" s="5"/>
    </row>
    <row r="39" spans="1:22" x14ac:dyDescent="0.2">
      <c r="L39" s="153"/>
      <c r="M39" s="5"/>
      <c r="N39" s="5"/>
      <c r="O39" s="5"/>
      <c r="P39" s="5"/>
      <c r="Q39" s="5"/>
      <c r="R39" s="5"/>
      <c r="S39" s="5"/>
      <c r="T39" s="5"/>
      <c r="U39" s="5"/>
      <c r="V39" s="5"/>
    </row>
    <row r="40" spans="1:22" x14ac:dyDescent="0.2">
      <c r="L40" s="5"/>
      <c r="M40" s="5"/>
      <c r="N40" s="5"/>
      <c r="O40" s="5"/>
      <c r="P40" s="5"/>
      <c r="Q40" s="5"/>
      <c r="R40" s="5"/>
      <c r="S40" s="5"/>
      <c r="T40" s="5"/>
      <c r="U40" s="5"/>
      <c r="V40" s="5"/>
    </row>
    <row r="41" spans="1:22" ht="17" thickBot="1" x14ac:dyDescent="0.25">
      <c r="L41" s="5"/>
      <c r="M41" s="5"/>
      <c r="N41" s="5"/>
      <c r="O41" s="24" t="s">
        <v>18</v>
      </c>
      <c r="P41" s="26" t="s">
        <v>107</v>
      </c>
      <c r="Q41" s="5"/>
      <c r="R41" s="5"/>
      <c r="S41" s="5"/>
      <c r="T41" s="5"/>
      <c r="U41" s="5"/>
      <c r="V41" s="5"/>
    </row>
    <row r="42" spans="1:22" x14ac:dyDescent="0.2">
      <c r="L42" s="24" t="s">
        <v>21</v>
      </c>
      <c r="M42" s="23" t="s">
        <v>54</v>
      </c>
      <c r="N42" s="152"/>
      <c r="O42" s="24" t="s">
        <v>54</v>
      </c>
      <c r="P42" s="23" t="s">
        <v>14</v>
      </c>
      <c r="Q42" s="5"/>
      <c r="R42" s="26" t="s">
        <v>18</v>
      </c>
      <c r="S42" s="22" t="s">
        <v>18</v>
      </c>
      <c r="T42" s="5"/>
      <c r="U42" s="5"/>
      <c r="V42" s="5"/>
    </row>
    <row r="43" spans="1:22" ht="17" x14ac:dyDescent="0.2">
      <c r="L43" s="16" t="s">
        <v>17</v>
      </c>
      <c r="M43" s="21" t="s">
        <v>53</v>
      </c>
      <c r="N43" s="21" t="s">
        <v>104</v>
      </c>
      <c r="O43" s="16" t="s">
        <v>53</v>
      </c>
      <c r="P43" s="21" t="s">
        <v>199</v>
      </c>
      <c r="Q43" s="21" t="s">
        <v>104</v>
      </c>
      <c r="R43" s="21" t="s">
        <v>14</v>
      </c>
      <c r="S43" s="20" t="s">
        <v>72</v>
      </c>
      <c r="T43" s="5"/>
      <c r="U43" s="5"/>
      <c r="V43" s="5"/>
    </row>
    <row r="44" spans="1:22" ht="17" x14ac:dyDescent="0.2">
      <c r="L44" s="11" t="str">
        <f>C13</f>
        <v xml:space="preserve">2016-1 </v>
      </c>
      <c r="M44" s="9">
        <f>E13</f>
        <v>3705</v>
      </c>
      <c r="N44" s="28">
        <f>N17</f>
        <v>0.99689363508120366</v>
      </c>
      <c r="O44" s="45">
        <f>M44*N44</f>
        <v>3693.4909179758597</v>
      </c>
      <c r="P44" s="9">
        <f>E23</f>
        <v>4637</v>
      </c>
      <c r="Q44" s="108">
        <f>N30</f>
        <v>0.99401339237934738</v>
      </c>
      <c r="R44" s="9">
        <f>P44*Q44</f>
        <v>4609.2401004630337</v>
      </c>
      <c r="S44" s="17">
        <f>R44*O44</f>
        <v>17024186.449830353</v>
      </c>
      <c r="T44" s="5"/>
      <c r="U44" s="5"/>
      <c r="V44" s="5"/>
    </row>
    <row r="45" spans="1:22" ht="17" x14ac:dyDescent="0.2">
      <c r="L45" s="16" t="str">
        <f>C14</f>
        <v>2016-2</v>
      </c>
      <c r="M45" s="15">
        <f>D14</f>
        <v>4100</v>
      </c>
      <c r="N45" s="151">
        <f>M17</f>
        <v>0.94704895332714345</v>
      </c>
      <c r="O45" s="150">
        <f>M45*N45</f>
        <v>3882.900708641288</v>
      </c>
      <c r="P45" s="15">
        <f>D24</f>
        <v>4500</v>
      </c>
      <c r="Q45" s="149">
        <f>M32</f>
        <v>1.0189144421578298</v>
      </c>
      <c r="R45" s="15">
        <f>P45*Q45</f>
        <v>4585.1149897102341</v>
      </c>
      <c r="S45" s="12">
        <f>R45*O45</f>
        <v>17803546.242747661</v>
      </c>
      <c r="T45" s="5"/>
      <c r="U45" s="5"/>
      <c r="V45" s="5"/>
    </row>
    <row r="46" spans="1:22" ht="17" thickBot="1" x14ac:dyDescent="0.25">
      <c r="L46" s="148" t="s">
        <v>12</v>
      </c>
      <c r="M46" s="9"/>
      <c r="N46" s="9"/>
      <c r="O46" s="45">
        <f>SUM(O44:O45)</f>
        <v>7576.3916266171473</v>
      </c>
      <c r="P46" s="9"/>
      <c r="Q46" s="9"/>
      <c r="R46" s="9"/>
      <c r="S46" s="147">
        <f>SUM(S44:S45)</f>
        <v>34827732.692578018</v>
      </c>
      <c r="T46" s="5"/>
      <c r="U46" s="5"/>
      <c r="V46" s="5"/>
    </row>
    <row r="47" spans="1:22" x14ac:dyDescent="0.2">
      <c r="L47" s="5"/>
      <c r="M47" s="5"/>
      <c r="N47" s="5"/>
      <c r="O47" s="5"/>
      <c r="P47" s="5"/>
      <c r="Q47" s="5"/>
      <c r="R47" s="5"/>
      <c r="S47" s="5"/>
      <c r="T47" s="5"/>
      <c r="U47" s="5"/>
      <c r="V47" s="5"/>
    </row>
    <row r="48" spans="1:22" x14ac:dyDescent="0.2">
      <c r="L48" s="7" t="s">
        <v>11</v>
      </c>
      <c r="M48" s="5"/>
      <c r="N48" s="5"/>
      <c r="O48" s="5"/>
      <c r="P48" s="5"/>
      <c r="Q48" s="5"/>
      <c r="R48" s="5"/>
      <c r="S48" s="5"/>
      <c r="T48" s="5"/>
      <c r="U48" s="5"/>
      <c r="V48" s="5"/>
    </row>
    <row r="49" spans="12:22" x14ac:dyDescent="0.2">
      <c r="L49" s="256" t="s">
        <v>198</v>
      </c>
      <c r="M49" s="256"/>
      <c r="N49" s="256"/>
      <c r="O49" s="256"/>
      <c r="P49" s="256"/>
      <c r="Q49" s="256"/>
      <c r="R49" s="256"/>
      <c r="S49" s="256"/>
      <c r="T49" s="5"/>
      <c r="U49" s="5"/>
      <c r="V49" s="5"/>
    </row>
    <row r="50" spans="12:22" x14ac:dyDescent="0.2">
      <c r="L50" s="256"/>
      <c r="M50" s="256"/>
      <c r="N50" s="256"/>
      <c r="O50" s="256"/>
      <c r="P50" s="256"/>
      <c r="Q50" s="256"/>
      <c r="R50" s="256"/>
      <c r="S50" s="256"/>
      <c r="T50" s="5"/>
      <c r="U50" s="5"/>
      <c r="V50" s="5"/>
    </row>
    <row r="51" spans="12:22" x14ac:dyDescent="0.2">
      <c r="L51" s="256"/>
      <c r="M51" s="256"/>
      <c r="N51" s="256"/>
      <c r="O51" s="256"/>
      <c r="P51" s="256"/>
      <c r="Q51" s="256"/>
      <c r="R51" s="256"/>
      <c r="S51" s="256"/>
      <c r="T51" s="5"/>
      <c r="U51" s="5"/>
      <c r="V51" s="5"/>
    </row>
    <row r="52" spans="12:22" x14ac:dyDescent="0.2">
      <c r="L52" s="5"/>
      <c r="M52" s="5"/>
      <c r="N52" s="5"/>
      <c r="O52" s="5"/>
      <c r="P52" s="5"/>
      <c r="Q52" s="5"/>
      <c r="R52" s="5"/>
      <c r="S52" s="5"/>
      <c r="T52" s="5"/>
      <c r="U52" s="5"/>
      <c r="V52" s="5"/>
    </row>
    <row r="53" spans="12:22" x14ac:dyDescent="0.2">
      <c r="L53" s="5"/>
      <c r="M53" s="5"/>
      <c r="N53" s="5"/>
      <c r="O53" s="5"/>
      <c r="P53" s="5"/>
      <c r="Q53" s="5"/>
      <c r="R53" s="5"/>
      <c r="S53" s="5"/>
      <c r="T53" s="5"/>
      <c r="U53" s="5"/>
      <c r="V53" s="5"/>
    </row>
    <row r="54" spans="12:22" x14ac:dyDescent="0.2">
      <c r="L54" s="7" t="s">
        <v>166</v>
      </c>
      <c r="M54" s="5"/>
      <c r="N54" s="5"/>
      <c r="O54" s="5"/>
      <c r="P54" s="5"/>
      <c r="Q54" s="5"/>
      <c r="R54" s="5"/>
      <c r="S54" s="5"/>
      <c r="T54" s="5"/>
      <c r="U54" s="5"/>
      <c r="V54" s="5"/>
    </row>
    <row r="55" spans="12:22" ht="16" customHeight="1" x14ac:dyDescent="0.2">
      <c r="L55" s="256" t="s">
        <v>197</v>
      </c>
      <c r="M55" s="256"/>
      <c r="N55" s="256"/>
      <c r="O55" s="256"/>
      <c r="P55" s="256"/>
      <c r="Q55" s="256"/>
      <c r="R55" s="256"/>
      <c r="S55" s="256"/>
      <c r="T55" s="5"/>
    </row>
    <row r="56" spans="12:22" x14ac:dyDescent="0.2">
      <c r="L56" s="256"/>
      <c r="M56" s="256"/>
      <c r="N56" s="256"/>
      <c r="O56" s="256"/>
      <c r="P56" s="256"/>
      <c r="Q56" s="256"/>
      <c r="R56" s="256"/>
      <c r="S56" s="256"/>
      <c r="T56" s="5"/>
    </row>
    <row r="57" spans="12:22" x14ac:dyDescent="0.2">
      <c r="L57" s="256"/>
      <c r="M57" s="256"/>
      <c r="N57" s="256"/>
      <c r="O57" s="256"/>
      <c r="P57" s="256"/>
      <c r="Q57" s="256"/>
      <c r="R57" s="256"/>
      <c r="S57" s="256"/>
      <c r="T57" s="5"/>
    </row>
    <row r="58" spans="12:22" x14ac:dyDescent="0.2">
      <c r="T58" s="5"/>
    </row>
    <row r="59" spans="12:22" x14ac:dyDescent="0.2">
      <c r="T59" s="5"/>
    </row>
    <row r="60" spans="12:22" ht="19" x14ac:dyDescent="0.25">
      <c r="L60" s="72" t="s">
        <v>3</v>
      </c>
    </row>
    <row r="61" spans="12:22" x14ac:dyDescent="0.2">
      <c r="L61" s="255" t="s">
        <v>196</v>
      </c>
      <c r="M61" s="255"/>
      <c r="N61" s="255"/>
      <c r="O61" s="255"/>
      <c r="P61" s="255"/>
      <c r="Q61" s="255"/>
      <c r="R61" s="255"/>
      <c r="S61" s="255"/>
    </row>
    <row r="62" spans="12:22" x14ac:dyDescent="0.2">
      <c r="L62" s="255"/>
      <c r="M62" s="255"/>
      <c r="N62" s="255"/>
      <c r="O62" s="255"/>
      <c r="P62" s="255"/>
      <c r="Q62" s="255"/>
      <c r="R62" s="255"/>
      <c r="S62" s="255"/>
    </row>
    <row r="63" spans="12:22" x14ac:dyDescent="0.2">
      <c r="L63" s="255"/>
      <c r="M63" s="255"/>
      <c r="N63" s="255"/>
      <c r="O63" s="255"/>
      <c r="P63" s="255"/>
      <c r="Q63" s="255"/>
      <c r="R63" s="255"/>
      <c r="S63" s="255"/>
    </row>
    <row r="64" spans="12:22" x14ac:dyDescent="0.2">
      <c r="L64" s="255"/>
      <c r="M64" s="255"/>
      <c r="N64" s="255"/>
      <c r="O64" s="255"/>
      <c r="P64" s="255"/>
      <c r="Q64" s="255"/>
      <c r="R64" s="255"/>
      <c r="S64" s="255"/>
    </row>
    <row r="65" spans="12:19" x14ac:dyDescent="0.2">
      <c r="L65" s="255"/>
      <c r="M65" s="255"/>
      <c r="N65" s="255"/>
      <c r="O65" s="255"/>
      <c r="P65" s="255"/>
      <c r="Q65" s="255"/>
      <c r="R65" s="255"/>
      <c r="S65" s="255"/>
    </row>
    <row r="67" spans="12:19" ht="19" x14ac:dyDescent="0.25">
      <c r="L67" s="72" t="s">
        <v>1</v>
      </c>
    </row>
    <row r="68" spans="12:19" x14ac:dyDescent="0.2">
      <c r="L68" s="1" t="s">
        <v>95</v>
      </c>
    </row>
  </sheetData>
  <mergeCells count="10">
    <mergeCell ref="L61:S65"/>
    <mergeCell ref="L6:Q6"/>
    <mergeCell ref="L19:Q19"/>
    <mergeCell ref="L35:R36"/>
    <mergeCell ref="D6:I6"/>
    <mergeCell ref="D7:I7"/>
    <mergeCell ref="D16:I16"/>
    <mergeCell ref="D17:I17"/>
    <mergeCell ref="L49:S51"/>
    <mergeCell ref="L55:S5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1479-681B-304B-898F-CAFC5F056B91}">
  <dimension ref="A1:T51"/>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6" width="10.83203125" style="1" customWidth="1"/>
    <col min="7" max="7" width="11.33203125" style="1" customWidth="1"/>
    <col min="8" max="12" width="11" style="1"/>
    <col min="13" max="13" width="11.5" style="1" hidden="1" customWidth="1" outlineLevel="1"/>
    <col min="14" max="14" width="11.83203125" style="1" hidden="1" customWidth="1" outlineLevel="1"/>
    <col min="15" max="15" width="10.83203125" style="1" hidden="1" customWidth="1" outlineLevel="1"/>
    <col min="16" max="16" width="11.33203125" style="1" hidden="1" customWidth="1" outlineLevel="1"/>
    <col min="17" max="17" width="12" style="1" hidden="1" customWidth="1" outlineLevel="1"/>
    <col min="18" max="19" width="10.83203125" style="1" hidden="1" customWidth="1" outlineLevel="1"/>
    <col min="20" max="20" width="11" style="1" collapsed="1"/>
    <col min="21" max="16384" width="11" style="1"/>
  </cols>
  <sheetData>
    <row r="1" spans="1:19" x14ac:dyDescent="0.2">
      <c r="A1" s="71"/>
      <c r="B1" s="70" t="s">
        <v>70</v>
      </c>
      <c r="C1" s="69" t="s">
        <v>195</v>
      </c>
      <c r="D1" s="69" t="s">
        <v>68</v>
      </c>
      <c r="E1" s="69" t="s">
        <v>194</v>
      </c>
      <c r="F1" s="68"/>
      <c r="G1" s="68"/>
      <c r="H1" s="68"/>
      <c r="I1" s="68"/>
      <c r="J1" s="68"/>
      <c r="K1" s="67"/>
      <c r="L1" s="64" t="s">
        <v>66</v>
      </c>
    </row>
    <row r="2" spans="1:19" x14ac:dyDescent="0.2">
      <c r="A2" s="38"/>
      <c r="B2" s="66" t="s">
        <v>65</v>
      </c>
      <c r="C2" s="65">
        <v>3</v>
      </c>
      <c r="D2" s="37"/>
      <c r="E2" s="37"/>
      <c r="F2" s="37"/>
      <c r="G2" s="37"/>
      <c r="H2" s="37"/>
      <c r="I2" s="37"/>
      <c r="J2" s="37"/>
      <c r="K2" s="36"/>
    </row>
    <row r="3" spans="1:19" x14ac:dyDescent="0.2">
      <c r="A3" s="38"/>
      <c r="B3" s="37"/>
      <c r="C3" s="37"/>
      <c r="D3" s="37"/>
      <c r="E3" s="37"/>
      <c r="F3" s="37"/>
      <c r="G3" s="37"/>
      <c r="H3" s="37"/>
      <c r="I3" s="37"/>
      <c r="J3" s="37"/>
      <c r="K3" s="36"/>
      <c r="M3" s="64" t="s">
        <v>64</v>
      </c>
    </row>
    <row r="4" spans="1:19" x14ac:dyDescent="0.2">
      <c r="A4" s="38"/>
      <c r="B4" s="37"/>
      <c r="C4" s="37" t="s">
        <v>193</v>
      </c>
      <c r="D4" s="37"/>
      <c r="E4" s="37"/>
      <c r="F4" s="37"/>
      <c r="G4" s="37"/>
      <c r="H4" s="37"/>
      <c r="I4" s="37"/>
      <c r="J4" s="37"/>
      <c r="K4" s="36"/>
      <c r="M4" s="5" t="s">
        <v>192</v>
      </c>
      <c r="N4" s="5"/>
      <c r="O4" s="5"/>
      <c r="P4" s="5"/>
      <c r="Q4" s="5"/>
      <c r="R4" s="5"/>
      <c r="S4" s="5"/>
    </row>
    <row r="5" spans="1:19" x14ac:dyDescent="0.2">
      <c r="A5" s="38"/>
      <c r="B5" s="37"/>
      <c r="C5" s="37" t="s">
        <v>191</v>
      </c>
      <c r="D5" s="37"/>
      <c r="E5" s="37"/>
      <c r="F5" s="37"/>
      <c r="G5" s="37"/>
      <c r="H5" s="37"/>
      <c r="I5" s="37"/>
      <c r="J5" s="37"/>
      <c r="K5" s="36"/>
      <c r="M5" s="5"/>
      <c r="N5" s="5"/>
      <c r="O5" s="5"/>
      <c r="P5" s="5"/>
      <c r="Q5" s="5"/>
      <c r="R5" s="5"/>
      <c r="S5" s="5"/>
    </row>
    <row r="6" spans="1:19" x14ac:dyDescent="0.2">
      <c r="A6" s="38"/>
      <c r="B6" s="37"/>
      <c r="C6" s="37"/>
      <c r="D6" s="37"/>
      <c r="E6" s="37"/>
      <c r="F6" s="37"/>
      <c r="G6" s="37"/>
      <c r="H6" s="37"/>
      <c r="I6" s="37"/>
      <c r="J6" s="37"/>
      <c r="K6" s="36"/>
      <c r="M6" s="24" t="s">
        <v>21</v>
      </c>
      <c r="N6" s="31" t="s">
        <v>190</v>
      </c>
      <c r="O6" s="23" t="s">
        <v>31</v>
      </c>
      <c r="P6" s="24" t="s">
        <v>30</v>
      </c>
      <c r="Q6" s="23" t="s">
        <v>61</v>
      </c>
      <c r="R6" s="5"/>
      <c r="S6" s="5"/>
    </row>
    <row r="7" spans="1:19" ht="17" x14ac:dyDescent="0.2">
      <c r="A7" s="38"/>
      <c r="B7" s="37"/>
      <c r="C7" s="63"/>
      <c r="D7" s="62"/>
      <c r="E7" s="146"/>
      <c r="F7" s="62" t="s">
        <v>189</v>
      </c>
      <c r="G7" s="61"/>
      <c r="H7" s="37"/>
      <c r="I7" s="37"/>
      <c r="J7" s="37"/>
      <c r="K7" s="36"/>
      <c r="M7" s="16" t="s">
        <v>17</v>
      </c>
      <c r="N7" s="21" t="s">
        <v>53</v>
      </c>
      <c r="O7" s="21" t="s">
        <v>169</v>
      </c>
      <c r="P7" s="16" t="s">
        <v>26</v>
      </c>
      <c r="Q7" s="21" t="s">
        <v>58</v>
      </c>
      <c r="R7" s="5"/>
      <c r="S7" s="5"/>
    </row>
    <row r="8" spans="1:19" x14ac:dyDescent="0.2">
      <c r="A8" s="38"/>
      <c r="B8" s="37"/>
      <c r="C8" s="59"/>
      <c r="D8" s="58"/>
      <c r="E8" s="40" t="s">
        <v>107</v>
      </c>
      <c r="F8" s="58" t="s">
        <v>18</v>
      </c>
      <c r="G8" s="57" t="s">
        <v>77</v>
      </c>
      <c r="H8" s="37"/>
      <c r="I8" s="37"/>
      <c r="J8" s="37"/>
      <c r="K8" s="36"/>
      <c r="M8" s="11">
        <f>C11</f>
        <v>2013</v>
      </c>
      <c r="N8" s="9">
        <f>F11</f>
        <v>2300</v>
      </c>
      <c r="O8" s="29">
        <f>2016-M8</f>
        <v>3</v>
      </c>
      <c r="P8" s="56">
        <f>(1+$F$17)^O8</f>
        <v>1.0303009999999999</v>
      </c>
      <c r="Q8" s="9">
        <f>N8*P8</f>
        <v>2369.6922999999997</v>
      </c>
      <c r="R8" s="5"/>
      <c r="S8" s="5"/>
    </row>
    <row r="9" spans="1:19" x14ac:dyDescent="0.2">
      <c r="A9" s="38"/>
      <c r="B9" s="37"/>
      <c r="C9" s="59" t="s">
        <v>21</v>
      </c>
      <c r="D9" s="58" t="s">
        <v>186</v>
      </c>
      <c r="E9" s="40" t="s">
        <v>72</v>
      </c>
      <c r="F9" s="58" t="s">
        <v>188</v>
      </c>
      <c r="G9" s="57" t="s">
        <v>18</v>
      </c>
      <c r="H9" s="37"/>
      <c r="I9" s="37"/>
      <c r="J9" s="37"/>
      <c r="K9" s="36"/>
      <c r="M9" s="11">
        <f>C12</f>
        <v>2014</v>
      </c>
      <c r="N9" s="9">
        <f>F12</f>
        <v>2400</v>
      </c>
      <c r="O9" s="29">
        <f>2016-M9</f>
        <v>2</v>
      </c>
      <c r="P9" s="56">
        <f>(1+$F$17)^O9</f>
        <v>1.0201</v>
      </c>
      <c r="Q9" s="9">
        <f>N9*P9</f>
        <v>2448.2400000000002</v>
      </c>
      <c r="R9" s="5"/>
      <c r="S9" s="5"/>
    </row>
    <row r="10" spans="1:19" x14ac:dyDescent="0.2">
      <c r="A10" s="38"/>
      <c r="B10" s="37"/>
      <c r="C10" s="55" t="s">
        <v>17</v>
      </c>
      <c r="D10" s="145" t="s">
        <v>57</v>
      </c>
      <c r="E10" s="144" t="s">
        <v>57</v>
      </c>
      <c r="F10" s="42" t="s">
        <v>53</v>
      </c>
      <c r="G10" s="54" t="s">
        <v>14</v>
      </c>
      <c r="H10" s="37"/>
      <c r="I10" s="37"/>
      <c r="J10" s="37"/>
      <c r="K10" s="36"/>
      <c r="M10" s="11">
        <f>C13</f>
        <v>2015</v>
      </c>
      <c r="N10" s="9">
        <f>F13</f>
        <v>2500</v>
      </c>
      <c r="O10" s="29">
        <f>2016-M10</f>
        <v>1</v>
      </c>
      <c r="P10" s="56">
        <f>(1+$F$17)^O10</f>
        <v>1.01</v>
      </c>
      <c r="Q10" s="9">
        <f>N10*P10</f>
        <v>2525</v>
      </c>
      <c r="R10" s="5"/>
      <c r="S10" s="5"/>
    </row>
    <row r="11" spans="1:19" x14ac:dyDescent="0.2">
      <c r="A11" s="38"/>
      <c r="B11" s="37"/>
      <c r="C11" s="42">
        <v>2013</v>
      </c>
      <c r="D11" s="53">
        <v>306000</v>
      </c>
      <c r="E11" s="53">
        <v>15450</v>
      </c>
      <c r="F11" s="53">
        <v>2300</v>
      </c>
      <c r="G11" s="53">
        <v>7000</v>
      </c>
      <c r="H11" s="37"/>
      <c r="I11" s="37"/>
      <c r="J11" s="37"/>
      <c r="K11" s="36"/>
      <c r="M11" s="5"/>
      <c r="N11" s="5"/>
      <c r="O11" s="5"/>
      <c r="P11" s="5"/>
      <c r="Q11" s="5"/>
      <c r="R11" s="5"/>
      <c r="S11" s="5"/>
    </row>
    <row r="12" spans="1:19" x14ac:dyDescent="0.2">
      <c r="A12" s="38"/>
      <c r="B12" s="37"/>
      <c r="C12" s="51">
        <v>2014</v>
      </c>
      <c r="D12" s="50">
        <v>313000</v>
      </c>
      <c r="E12" s="50">
        <v>17000</v>
      </c>
      <c r="F12" s="50">
        <v>2400</v>
      </c>
      <c r="G12" s="50">
        <v>7500</v>
      </c>
      <c r="H12" s="37"/>
      <c r="I12" s="37"/>
      <c r="J12" s="37"/>
      <c r="K12" s="36"/>
      <c r="M12" s="24" t="s">
        <v>21</v>
      </c>
      <c r="N12" s="31"/>
      <c r="O12" s="23" t="s">
        <v>31</v>
      </c>
      <c r="P12" s="23" t="s">
        <v>30</v>
      </c>
      <c r="Q12" s="24" t="s">
        <v>187</v>
      </c>
      <c r="R12" s="23" t="s">
        <v>28</v>
      </c>
      <c r="S12" s="5"/>
    </row>
    <row r="13" spans="1:19" ht="17" x14ac:dyDescent="0.2">
      <c r="A13" s="38"/>
      <c r="B13" s="40"/>
      <c r="C13" s="51">
        <v>2015</v>
      </c>
      <c r="D13" s="50">
        <v>318000</v>
      </c>
      <c r="E13" s="50">
        <v>14625</v>
      </c>
      <c r="F13" s="50">
        <v>2500</v>
      </c>
      <c r="G13" s="51" t="s">
        <v>185</v>
      </c>
      <c r="H13" s="37"/>
      <c r="I13" s="37"/>
      <c r="J13" s="37"/>
      <c r="K13" s="36"/>
      <c r="M13" s="16" t="s">
        <v>17</v>
      </c>
      <c r="N13" s="21" t="s">
        <v>186</v>
      </c>
      <c r="O13" s="21" t="s">
        <v>169</v>
      </c>
      <c r="P13" s="21" t="s">
        <v>26</v>
      </c>
      <c r="Q13" s="16" t="s">
        <v>186</v>
      </c>
      <c r="R13" s="30" t="s">
        <v>15</v>
      </c>
      <c r="S13" s="5"/>
    </row>
    <row r="14" spans="1:19" x14ac:dyDescent="0.2">
      <c r="A14" s="38"/>
      <c r="B14" s="40"/>
      <c r="C14" s="51">
        <v>2016</v>
      </c>
      <c r="D14" s="50">
        <v>325000</v>
      </c>
      <c r="E14" s="50">
        <v>11000</v>
      </c>
      <c r="F14" s="51" t="s">
        <v>185</v>
      </c>
      <c r="G14" s="51" t="s">
        <v>185</v>
      </c>
      <c r="H14" s="37"/>
      <c r="I14" s="37"/>
      <c r="J14" s="37"/>
      <c r="K14" s="36"/>
      <c r="M14" s="11">
        <f>M8</f>
        <v>2013</v>
      </c>
      <c r="N14" s="9">
        <f>D11</f>
        <v>306000</v>
      </c>
      <c r="O14" s="29">
        <f>2016-M14</f>
        <v>3</v>
      </c>
      <c r="P14" s="28">
        <f>(1+$F$16)^O14</f>
        <v>1.0612079999999999</v>
      </c>
      <c r="Q14" s="47">
        <f>N14*P14</f>
        <v>324729.64799999999</v>
      </c>
      <c r="R14" s="44">
        <f>Q8/Q14</f>
        <v>7.2974313081508339E-3</v>
      </c>
      <c r="S14" s="5"/>
    </row>
    <row r="15" spans="1:19" x14ac:dyDescent="0.2">
      <c r="A15" s="38"/>
      <c r="B15" s="40"/>
      <c r="C15" s="37"/>
      <c r="D15" s="37"/>
      <c r="E15" s="37"/>
      <c r="F15" s="37"/>
      <c r="G15" s="37"/>
      <c r="H15" s="37"/>
      <c r="I15" s="37"/>
      <c r="J15" s="37"/>
      <c r="K15" s="36"/>
      <c r="M15" s="11">
        <f>M9</f>
        <v>2014</v>
      </c>
      <c r="N15" s="9">
        <f>D12</f>
        <v>313000</v>
      </c>
      <c r="O15" s="29">
        <f>2016-M15</f>
        <v>2</v>
      </c>
      <c r="P15" s="28">
        <f>(1+$F$16)^O15</f>
        <v>1.0404</v>
      </c>
      <c r="Q15" s="45">
        <f>N15*P15</f>
        <v>325645.2</v>
      </c>
      <c r="R15" s="44">
        <f>Q9/Q15</f>
        <v>7.5181209488117745E-3</v>
      </c>
      <c r="S15" s="5"/>
    </row>
    <row r="16" spans="1:19" x14ac:dyDescent="0.2">
      <c r="A16" s="38"/>
      <c r="B16" s="40"/>
      <c r="C16" s="37" t="s">
        <v>184</v>
      </c>
      <c r="D16" s="37"/>
      <c r="E16" s="37"/>
      <c r="F16" s="113">
        <v>0.02</v>
      </c>
      <c r="G16" s="37"/>
      <c r="H16" s="37"/>
      <c r="I16" s="37"/>
      <c r="J16" s="37"/>
      <c r="K16" s="36"/>
      <c r="M16" s="11">
        <f>M10</f>
        <v>2015</v>
      </c>
      <c r="N16" s="9">
        <f>D13</f>
        <v>318000</v>
      </c>
      <c r="O16" s="29">
        <f>2016-M16</f>
        <v>1</v>
      </c>
      <c r="P16" s="28">
        <f>(1+$F$16)^O16</f>
        <v>1.02</v>
      </c>
      <c r="Q16" s="45">
        <f>N16*P16</f>
        <v>324360</v>
      </c>
      <c r="R16" s="44">
        <f>Q10/Q16</f>
        <v>7.7845603650265136E-3</v>
      </c>
      <c r="S16" s="5"/>
    </row>
    <row r="17" spans="1:20" ht="17" thickBot="1" x14ac:dyDescent="0.25">
      <c r="A17" s="38"/>
      <c r="B17" s="40"/>
      <c r="C17" s="37" t="s">
        <v>183</v>
      </c>
      <c r="D17" s="37"/>
      <c r="E17" s="37"/>
      <c r="F17" s="113">
        <v>0.01</v>
      </c>
      <c r="G17" s="37"/>
      <c r="H17" s="37"/>
      <c r="I17" s="37"/>
      <c r="J17" s="37"/>
      <c r="K17" s="36"/>
      <c r="M17" s="143"/>
      <c r="N17" s="9"/>
      <c r="O17" s="28"/>
      <c r="P17" s="9"/>
      <c r="Q17" s="44"/>
      <c r="R17" s="5"/>
      <c r="S17" s="5"/>
    </row>
    <row r="18" spans="1:20" ht="17" thickBot="1" x14ac:dyDescent="0.25">
      <c r="A18" s="38"/>
      <c r="B18" s="40"/>
      <c r="C18" s="37" t="s">
        <v>182</v>
      </c>
      <c r="D18" s="37"/>
      <c r="E18" s="37"/>
      <c r="F18" s="113">
        <v>0.08</v>
      </c>
      <c r="G18" s="37"/>
      <c r="H18" s="37"/>
      <c r="I18" s="37"/>
      <c r="J18" s="37"/>
      <c r="K18" s="36"/>
      <c r="M18" s="5"/>
      <c r="N18" s="5"/>
      <c r="O18" s="5"/>
      <c r="P18" s="105" t="s">
        <v>181</v>
      </c>
      <c r="Q18" s="104"/>
      <c r="R18" s="142">
        <f>R16</f>
        <v>7.7845603650265136E-3</v>
      </c>
      <c r="S18" s="5" t="s">
        <v>180</v>
      </c>
      <c r="T18" s="5"/>
    </row>
    <row r="19" spans="1:20" x14ac:dyDescent="0.2">
      <c r="A19" s="38"/>
      <c r="B19" s="40"/>
      <c r="C19" s="37" t="s">
        <v>179</v>
      </c>
      <c r="D19" s="37"/>
      <c r="E19" s="37"/>
      <c r="F19" s="37"/>
      <c r="G19" s="37"/>
      <c r="H19" s="40">
        <v>1.8</v>
      </c>
      <c r="I19" s="37"/>
      <c r="J19" s="37"/>
      <c r="K19" s="36"/>
      <c r="M19" s="5"/>
      <c r="N19" s="5"/>
      <c r="O19" s="5"/>
      <c r="P19" s="5"/>
      <c r="Q19" s="5"/>
      <c r="R19" s="41"/>
      <c r="S19" s="5"/>
      <c r="T19" s="5"/>
    </row>
    <row r="20" spans="1:20" x14ac:dyDescent="0.2">
      <c r="A20" s="38"/>
      <c r="B20" s="40"/>
      <c r="C20" s="37"/>
      <c r="D20" s="37"/>
      <c r="E20" s="37"/>
      <c r="F20" s="37"/>
      <c r="G20" s="37"/>
      <c r="H20" s="37"/>
      <c r="I20" s="37"/>
      <c r="J20" s="37"/>
      <c r="K20" s="36"/>
      <c r="M20" s="114" t="s">
        <v>178</v>
      </c>
      <c r="N20" s="5"/>
      <c r="S20" s="5"/>
    </row>
    <row r="21" spans="1:20" x14ac:dyDescent="0.2">
      <c r="A21" s="38" t="s">
        <v>40</v>
      </c>
      <c r="B21" s="39" t="s">
        <v>177</v>
      </c>
      <c r="C21" s="37" t="s">
        <v>176</v>
      </c>
      <c r="D21" s="37"/>
      <c r="E21" s="37"/>
      <c r="F21" s="37"/>
      <c r="G21" s="37"/>
      <c r="H21" s="37"/>
      <c r="I21" s="37"/>
      <c r="J21" s="37"/>
      <c r="K21" s="36"/>
      <c r="M21" s="256" t="s">
        <v>175</v>
      </c>
      <c r="N21" s="256"/>
      <c r="O21" s="256"/>
      <c r="P21" s="256"/>
      <c r="Q21" s="256"/>
      <c r="R21" s="256"/>
      <c r="S21" s="256"/>
    </row>
    <row r="22" spans="1:20" x14ac:dyDescent="0.2">
      <c r="A22" s="38"/>
      <c r="B22" s="40"/>
      <c r="C22" s="37"/>
      <c r="D22" s="37"/>
      <c r="E22" s="37"/>
      <c r="F22" s="37"/>
      <c r="G22" s="37"/>
      <c r="H22" s="37"/>
      <c r="I22" s="37"/>
      <c r="J22" s="37"/>
      <c r="K22" s="36"/>
      <c r="M22" s="256"/>
      <c r="N22" s="256"/>
      <c r="O22" s="256"/>
      <c r="P22" s="256"/>
      <c r="Q22" s="256"/>
      <c r="R22" s="256"/>
      <c r="S22" s="256"/>
    </row>
    <row r="23" spans="1:20" x14ac:dyDescent="0.2">
      <c r="A23" s="38" t="s">
        <v>36</v>
      </c>
      <c r="B23" s="39" t="s">
        <v>35</v>
      </c>
      <c r="C23" s="37" t="s">
        <v>174</v>
      </c>
      <c r="D23" s="37"/>
      <c r="E23" s="37"/>
      <c r="F23" s="37"/>
      <c r="G23" s="37"/>
      <c r="H23" s="37"/>
      <c r="I23" s="37"/>
      <c r="J23" s="37"/>
      <c r="K23" s="36"/>
      <c r="M23" s="102"/>
      <c r="N23" s="102"/>
      <c r="O23" s="102"/>
      <c r="P23" s="102"/>
      <c r="Q23" s="102"/>
      <c r="R23" s="102"/>
      <c r="S23" s="102"/>
    </row>
    <row r="24" spans="1:20" ht="17" x14ac:dyDescent="0.2">
      <c r="A24" s="38"/>
      <c r="B24" s="40"/>
      <c r="C24" s="37"/>
      <c r="D24" s="37"/>
      <c r="E24" s="37"/>
      <c r="F24" s="37"/>
      <c r="G24" s="37"/>
      <c r="H24" s="37"/>
      <c r="I24" s="37"/>
      <c r="J24" s="37"/>
      <c r="K24" s="36"/>
      <c r="M24" s="141" t="s">
        <v>11</v>
      </c>
      <c r="N24" s="102"/>
      <c r="O24" s="102"/>
      <c r="P24" s="102"/>
      <c r="Q24" s="102"/>
      <c r="R24" s="102"/>
      <c r="S24" s="102"/>
    </row>
    <row r="25" spans="1:20" x14ac:dyDescent="0.2">
      <c r="A25" s="38" t="s">
        <v>173</v>
      </c>
      <c r="B25" s="39" t="s">
        <v>135</v>
      </c>
      <c r="C25" s="37" t="s">
        <v>172</v>
      </c>
      <c r="D25" s="37"/>
      <c r="E25" s="37"/>
      <c r="F25" s="37"/>
      <c r="G25" s="37"/>
      <c r="H25" s="37"/>
      <c r="I25" s="37"/>
      <c r="J25" s="37"/>
      <c r="K25" s="36"/>
      <c r="M25" s="5" t="s">
        <v>171</v>
      </c>
      <c r="N25" s="5"/>
      <c r="O25" s="5"/>
      <c r="P25" s="5"/>
      <c r="Q25" s="5"/>
      <c r="R25" s="102"/>
      <c r="S25" s="5"/>
    </row>
    <row r="26" spans="1:20" x14ac:dyDescent="0.2">
      <c r="A26" s="38"/>
      <c r="B26" s="40"/>
      <c r="C26" s="37" t="s">
        <v>170</v>
      </c>
      <c r="D26" s="37"/>
      <c r="E26" s="37"/>
      <c r="F26" s="37"/>
      <c r="G26" s="37"/>
      <c r="H26" s="37"/>
      <c r="I26" s="37"/>
      <c r="J26" s="37"/>
      <c r="K26" s="36"/>
      <c r="M26" s="5"/>
      <c r="N26" s="5"/>
      <c r="O26" s="5"/>
      <c r="P26" s="5"/>
      <c r="Q26" s="5"/>
      <c r="R26" s="102"/>
      <c r="S26" s="5"/>
    </row>
    <row r="27" spans="1:20" ht="17" thickBot="1" x14ac:dyDescent="0.25">
      <c r="A27" s="38"/>
      <c r="B27" s="40"/>
      <c r="C27" s="37"/>
      <c r="D27" s="37"/>
      <c r="E27" s="37"/>
      <c r="F27" s="37"/>
      <c r="G27" s="37"/>
      <c r="H27" s="37"/>
      <c r="I27" s="37"/>
      <c r="J27" s="37"/>
      <c r="K27" s="36"/>
      <c r="M27" s="24" t="s">
        <v>21</v>
      </c>
      <c r="N27" s="31" t="s">
        <v>18</v>
      </c>
      <c r="O27" s="23" t="s">
        <v>31</v>
      </c>
      <c r="P27" s="24" t="s">
        <v>30</v>
      </c>
      <c r="Q27" s="23" t="s">
        <v>28</v>
      </c>
      <c r="R27" s="102"/>
    </row>
    <row r="28" spans="1:20" ht="18" thickBot="1" x14ac:dyDescent="0.25">
      <c r="A28" s="35" t="s">
        <v>32</v>
      </c>
      <c r="B28" s="33"/>
      <c r="C28" s="34"/>
      <c r="D28" s="33"/>
      <c r="E28" s="33"/>
      <c r="F28" s="33"/>
      <c r="G28" s="33"/>
      <c r="H28" s="33"/>
      <c r="I28" s="33"/>
      <c r="J28" s="33"/>
      <c r="K28" s="32"/>
      <c r="M28" s="16" t="s">
        <v>17</v>
      </c>
      <c r="N28" s="21" t="s">
        <v>14</v>
      </c>
      <c r="O28" s="21" t="s">
        <v>169</v>
      </c>
      <c r="P28" s="16" t="s">
        <v>26</v>
      </c>
      <c r="Q28" s="21" t="s">
        <v>14</v>
      </c>
      <c r="R28" s="102"/>
    </row>
    <row r="29" spans="1:20" x14ac:dyDescent="0.2">
      <c r="M29" s="11">
        <f>C11</f>
        <v>2013</v>
      </c>
      <c r="N29" s="9">
        <f>G11</f>
        <v>7000</v>
      </c>
      <c r="O29" s="29">
        <f>2016-M29</f>
        <v>3</v>
      </c>
      <c r="P29" s="56">
        <f>(1+$F$18)^O29</f>
        <v>1.2597120000000002</v>
      </c>
      <c r="Q29" s="9">
        <f>N29*P29</f>
        <v>8817.9840000000004</v>
      </c>
      <c r="R29" s="102"/>
    </row>
    <row r="30" spans="1:20" x14ac:dyDescent="0.2">
      <c r="M30" s="11">
        <f>C12</f>
        <v>2014</v>
      </c>
      <c r="N30" s="9">
        <f>G12</f>
        <v>7500</v>
      </c>
      <c r="O30" s="29">
        <f>2016-M30</f>
        <v>2</v>
      </c>
      <c r="P30" s="56">
        <f>(1+$F$18)^O30</f>
        <v>1.1664000000000001</v>
      </c>
      <c r="Q30" s="9">
        <f>N30*P30</f>
        <v>8748</v>
      </c>
      <c r="R30" s="102"/>
    </row>
    <row r="31" spans="1:20" ht="17" thickBot="1" x14ac:dyDescent="0.25">
      <c r="M31" s="5"/>
      <c r="N31" s="5"/>
      <c r="O31" s="5"/>
      <c r="P31" s="5"/>
      <c r="Q31" s="5"/>
      <c r="R31" s="102"/>
      <c r="S31" s="5"/>
    </row>
    <row r="32" spans="1:20" ht="17" thickBot="1" x14ac:dyDescent="0.25">
      <c r="M32" s="5"/>
      <c r="N32" s="5"/>
      <c r="O32" s="284" t="s">
        <v>168</v>
      </c>
      <c r="P32" s="285"/>
      <c r="Q32" s="103">
        <f>AVERAGE(Q29:Q30)</f>
        <v>8782.9920000000002</v>
      </c>
      <c r="R32" s="102"/>
    </row>
    <row r="33" spans="13:19" x14ac:dyDescent="0.2">
      <c r="M33" s="5"/>
      <c r="N33" s="5"/>
      <c r="O33" s="5"/>
      <c r="S33" s="5"/>
    </row>
    <row r="34" spans="13:19" x14ac:dyDescent="0.2">
      <c r="M34" s="5" t="s">
        <v>167</v>
      </c>
      <c r="N34" s="5"/>
      <c r="O34" s="5"/>
      <c r="S34" s="5"/>
    </row>
    <row r="35" spans="13:19" x14ac:dyDescent="0.2">
      <c r="M35" s="5"/>
      <c r="N35" s="5"/>
      <c r="O35" s="5"/>
      <c r="S35" s="5"/>
    </row>
    <row r="36" spans="13:19" x14ac:dyDescent="0.2">
      <c r="M36" s="7" t="s">
        <v>166</v>
      </c>
      <c r="N36" s="5"/>
      <c r="O36" s="5"/>
      <c r="S36" s="5"/>
    </row>
    <row r="37" spans="13:19" x14ac:dyDescent="0.2">
      <c r="M37" s="5"/>
      <c r="N37" s="5"/>
      <c r="O37" s="5"/>
      <c r="S37" s="5"/>
    </row>
    <row r="38" spans="13:19" x14ac:dyDescent="0.2">
      <c r="M38" s="5" t="s">
        <v>165</v>
      </c>
      <c r="N38" s="5"/>
      <c r="O38" s="5"/>
      <c r="P38" s="5"/>
      <c r="Q38" s="5"/>
      <c r="R38" s="5"/>
      <c r="S38" s="5"/>
    </row>
    <row r="39" spans="13:19" x14ac:dyDescent="0.2">
      <c r="M39" s="5"/>
      <c r="N39" s="5"/>
      <c r="O39" s="5"/>
      <c r="P39" s="5"/>
      <c r="Q39" s="5"/>
      <c r="R39" s="5"/>
      <c r="S39" s="5"/>
    </row>
    <row r="40" spans="13:19" x14ac:dyDescent="0.2">
      <c r="M40" s="5" t="s">
        <v>164</v>
      </c>
      <c r="N40" s="5"/>
      <c r="O40" s="5"/>
      <c r="P40" s="5"/>
      <c r="Q40" s="5"/>
      <c r="R40" s="5"/>
      <c r="S40" s="5"/>
    </row>
    <row r="41" spans="13:19" x14ac:dyDescent="0.2">
      <c r="M41" s="5" t="s">
        <v>163</v>
      </c>
      <c r="N41" s="5"/>
      <c r="O41" s="25">
        <f>D14</f>
        <v>325000</v>
      </c>
      <c r="P41" s="5"/>
      <c r="Q41" s="5"/>
      <c r="R41" s="5"/>
      <c r="S41" s="5"/>
    </row>
    <row r="42" spans="13:19" x14ac:dyDescent="0.2">
      <c r="M42" s="5" t="s">
        <v>162</v>
      </c>
      <c r="N42" s="5"/>
      <c r="O42" s="44">
        <f>R18</f>
        <v>7.7845603650265136E-3</v>
      </c>
      <c r="P42" s="5"/>
      <c r="Q42" s="5"/>
      <c r="R42" s="5"/>
      <c r="S42" s="5"/>
    </row>
    <row r="43" spans="13:19" x14ac:dyDescent="0.2">
      <c r="M43" s="5" t="s">
        <v>161</v>
      </c>
      <c r="N43" s="5"/>
      <c r="O43" s="25">
        <f>Q32</f>
        <v>8782.9920000000002</v>
      </c>
      <c r="P43" s="5"/>
      <c r="Q43" s="5"/>
      <c r="R43" s="5"/>
      <c r="S43" s="5"/>
    </row>
    <row r="44" spans="13:19" x14ac:dyDescent="0.2">
      <c r="M44" s="5" t="s">
        <v>160</v>
      </c>
      <c r="N44" s="5"/>
      <c r="O44" s="25">
        <f>O41*O42*O43</f>
        <v>22220812.708102111</v>
      </c>
      <c r="P44" s="5"/>
      <c r="Q44" s="5"/>
      <c r="R44" s="5"/>
      <c r="S44" s="5"/>
    </row>
    <row r="45" spans="13:19" x14ac:dyDescent="0.2">
      <c r="M45" s="5"/>
      <c r="N45" s="5"/>
      <c r="O45" s="5"/>
      <c r="P45" s="5"/>
      <c r="Q45" s="5"/>
      <c r="R45" s="5"/>
      <c r="S45" s="5"/>
    </row>
    <row r="46" spans="13:19" ht="17" thickBot="1" x14ac:dyDescent="0.25">
      <c r="M46" s="5" t="s">
        <v>159</v>
      </c>
      <c r="N46" s="5"/>
      <c r="O46" s="140">
        <f>1-1/H19</f>
        <v>0.44444444444444442</v>
      </c>
      <c r="P46" s="5"/>
      <c r="Q46" s="5"/>
      <c r="R46" s="5"/>
      <c r="S46" s="5"/>
    </row>
    <row r="47" spans="13:19" ht="17" thickBot="1" x14ac:dyDescent="0.25">
      <c r="M47" s="105" t="s">
        <v>158</v>
      </c>
      <c r="N47" s="104"/>
      <c r="O47" s="139">
        <f>E14*1000+O44*O46</f>
        <v>20875916.759156495</v>
      </c>
      <c r="P47" s="5"/>
      <c r="Q47" s="5"/>
      <c r="R47" s="5"/>
      <c r="S47" s="5"/>
    </row>
    <row r="48" spans="13:19" x14ac:dyDescent="0.2">
      <c r="M48" s="5"/>
      <c r="N48" s="5"/>
      <c r="O48" s="5"/>
      <c r="P48" s="5"/>
      <c r="Q48" s="5"/>
      <c r="R48" s="5"/>
      <c r="S48" s="5"/>
    </row>
    <row r="49" spans="13:19" x14ac:dyDescent="0.2">
      <c r="M49" s="5"/>
      <c r="N49" s="5"/>
      <c r="O49" s="5"/>
      <c r="P49" s="5"/>
      <c r="Q49" s="5"/>
      <c r="R49" s="5"/>
      <c r="S49" s="5"/>
    </row>
    <row r="50" spans="13:19" ht="19" x14ac:dyDescent="0.25">
      <c r="M50" s="3" t="s">
        <v>1</v>
      </c>
    </row>
    <row r="51" spans="13:19" x14ac:dyDescent="0.2">
      <c r="M51" s="1" t="s">
        <v>0</v>
      </c>
    </row>
  </sheetData>
  <mergeCells count="2">
    <mergeCell ref="O32:P32"/>
    <mergeCell ref="M21:S22"/>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0661E-E5F7-9540-9A6B-C96F050E70F0}">
  <dimension ref="A1:T49"/>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2" width="11" style="1"/>
    <col min="13" max="19" width="10.83203125" style="1" hidden="1" customWidth="1" outlineLevel="1"/>
    <col min="20" max="20" width="11" style="1" collapsed="1"/>
    <col min="21" max="16384" width="11" style="1"/>
  </cols>
  <sheetData>
    <row r="1" spans="1:17" x14ac:dyDescent="0.2">
      <c r="A1" s="71"/>
      <c r="B1" s="70" t="s">
        <v>70</v>
      </c>
      <c r="C1" s="69" t="s">
        <v>157</v>
      </c>
      <c r="D1" s="69" t="s">
        <v>68</v>
      </c>
      <c r="E1" s="69" t="s">
        <v>156</v>
      </c>
      <c r="F1" s="68"/>
      <c r="G1" s="68"/>
      <c r="H1" s="68"/>
      <c r="I1" s="68"/>
      <c r="J1" s="68"/>
      <c r="K1" s="67"/>
      <c r="L1" s="64" t="s">
        <v>66</v>
      </c>
    </row>
    <row r="2" spans="1:17" x14ac:dyDescent="0.2">
      <c r="A2" s="38"/>
      <c r="B2" s="66" t="s">
        <v>65</v>
      </c>
      <c r="C2" s="65">
        <v>2.25</v>
      </c>
      <c r="D2" s="37"/>
      <c r="E2" s="37"/>
      <c r="F2" s="37"/>
      <c r="G2" s="37"/>
      <c r="H2" s="37"/>
      <c r="I2" s="37"/>
      <c r="J2" s="37"/>
      <c r="K2" s="36"/>
    </row>
    <row r="3" spans="1:17" x14ac:dyDescent="0.2">
      <c r="A3" s="38"/>
      <c r="B3" s="37"/>
      <c r="C3" s="37"/>
      <c r="D3" s="37"/>
      <c r="E3" s="37"/>
      <c r="F3" s="37"/>
      <c r="G3" s="37"/>
      <c r="H3" s="37"/>
      <c r="I3" s="37"/>
      <c r="J3" s="37"/>
      <c r="K3" s="36"/>
      <c r="M3" s="64" t="s">
        <v>64</v>
      </c>
    </row>
    <row r="4" spans="1:17" x14ac:dyDescent="0.2">
      <c r="A4" s="38"/>
      <c r="B4" s="37"/>
      <c r="C4" s="37" t="s">
        <v>155</v>
      </c>
      <c r="D4" s="37"/>
      <c r="E4" s="37"/>
      <c r="F4" s="37"/>
      <c r="G4" s="37"/>
      <c r="H4" s="37"/>
      <c r="I4" s="37"/>
      <c r="J4" s="37"/>
      <c r="K4" s="36"/>
    </row>
    <row r="5" spans="1:17" x14ac:dyDescent="0.2">
      <c r="A5" s="38"/>
      <c r="B5" s="37"/>
      <c r="C5" s="37"/>
      <c r="D5" s="37"/>
      <c r="E5" s="37"/>
      <c r="F5" s="37"/>
      <c r="G5" s="37"/>
      <c r="H5" s="37"/>
      <c r="I5" s="37"/>
      <c r="J5" s="37"/>
      <c r="K5" s="36"/>
      <c r="M5" s="1" t="s">
        <v>154</v>
      </c>
    </row>
    <row r="6" spans="1:17" ht="15.75" customHeight="1" x14ac:dyDescent="0.2">
      <c r="A6" s="38"/>
      <c r="B6" s="37"/>
      <c r="C6" s="62" t="s">
        <v>21</v>
      </c>
      <c r="D6" s="264" t="s">
        <v>153</v>
      </c>
      <c r="E6" s="264"/>
      <c r="F6" s="264"/>
      <c r="G6" s="265"/>
      <c r="H6" s="37"/>
      <c r="I6" s="37"/>
      <c r="J6" s="37"/>
      <c r="K6" s="36"/>
    </row>
    <row r="7" spans="1:17" x14ac:dyDescent="0.2">
      <c r="A7" s="38"/>
      <c r="B7" s="37"/>
      <c r="C7" s="42" t="s">
        <v>149</v>
      </c>
      <c r="D7" s="138">
        <v>48</v>
      </c>
      <c r="E7" s="51">
        <v>60</v>
      </c>
      <c r="F7" s="51">
        <v>72</v>
      </c>
      <c r="G7" s="51">
        <v>84</v>
      </c>
      <c r="H7" s="37"/>
      <c r="I7" s="37"/>
      <c r="J7" s="37"/>
      <c r="K7" s="36"/>
      <c r="M7" s="1" t="s">
        <v>152</v>
      </c>
    </row>
    <row r="8" spans="1:17" x14ac:dyDescent="0.2">
      <c r="A8" s="38"/>
      <c r="B8" s="37"/>
      <c r="C8" s="42">
        <v>2010</v>
      </c>
      <c r="D8" s="51">
        <v>60</v>
      </c>
      <c r="E8" s="51">
        <v>25</v>
      </c>
      <c r="F8" s="51">
        <v>15</v>
      </c>
      <c r="G8" s="51">
        <v>5</v>
      </c>
      <c r="H8" s="37"/>
      <c r="I8" s="37"/>
      <c r="J8" s="37"/>
      <c r="K8" s="36"/>
    </row>
    <row r="9" spans="1:17" ht="17" x14ac:dyDescent="0.2">
      <c r="A9" s="38"/>
      <c r="B9" s="37"/>
      <c r="C9" s="51">
        <v>2011</v>
      </c>
      <c r="D9" s="51">
        <v>60</v>
      </c>
      <c r="E9" s="51">
        <v>30</v>
      </c>
      <c r="F9" s="51">
        <v>15</v>
      </c>
      <c r="G9" s="51"/>
      <c r="H9" s="37"/>
      <c r="I9" s="37"/>
      <c r="J9" s="37"/>
      <c r="K9" s="36"/>
      <c r="M9" s="82" t="s">
        <v>21</v>
      </c>
      <c r="N9" s="269" t="s">
        <v>151</v>
      </c>
      <c r="O9" s="270"/>
      <c r="P9" s="270"/>
      <c r="Q9" s="270"/>
    </row>
    <row r="10" spans="1:17" ht="17" x14ac:dyDescent="0.2">
      <c r="A10" s="38"/>
      <c r="B10" s="37"/>
      <c r="C10" s="51">
        <v>2012</v>
      </c>
      <c r="D10" s="51">
        <v>100</v>
      </c>
      <c r="E10" s="51">
        <v>25</v>
      </c>
      <c r="F10" s="51"/>
      <c r="G10" s="51"/>
      <c r="H10" s="37"/>
      <c r="I10" s="37"/>
      <c r="J10" s="37"/>
      <c r="K10" s="36"/>
      <c r="M10" s="80" t="s">
        <v>17</v>
      </c>
      <c r="N10" s="78">
        <f>D7</f>
        <v>48</v>
      </c>
      <c r="O10" s="78">
        <f>E7</f>
        <v>60</v>
      </c>
      <c r="P10" s="78">
        <f>F7</f>
        <v>72</v>
      </c>
      <c r="Q10" s="78">
        <f>G7</f>
        <v>84</v>
      </c>
    </row>
    <row r="11" spans="1:17" x14ac:dyDescent="0.2">
      <c r="A11" s="38"/>
      <c r="B11" s="37"/>
      <c r="C11" s="51">
        <v>2013</v>
      </c>
      <c r="D11" s="51">
        <v>80</v>
      </c>
      <c r="E11" s="51"/>
      <c r="F11" s="51"/>
      <c r="G11" s="51"/>
      <c r="H11" s="37"/>
      <c r="I11" s="37"/>
      <c r="J11" s="37"/>
      <c r="K11" s="36"/>
      <c r="M11" s="76">
        <f>C8</f>
        <v>2010</v>
      </c>
      <c r="N11" s="85">
        <f>D15*1000/D8</f>
        <v>23333.333333333332</v>
      </c>
      <c r="O11" s="85">
        <f>E15*1000/E8</f>
        <v>100000</v>
      </c>
      <c r="P11" s="85">
        <f>F15*1000/F8</f>
        <v>133333.33333333334</v>
      </c>
      <c r="Q11" s="85">
        <f>G15*1000/G8</f>
        <v>80000</v>
      </c>
    </row>
    <row r="12" spans="1:17" x14ac:dyDescent="0.2">
      <c r="A12" s="38"/>
      <c r="B12" s="37"/>
      <c r="C12" s="37"/>
      <c r="D12" s="37"/>
      <c r="E12" s="37"/>
      <c r="F12" s="37"/>
      <c r="G12" s="37"/>
      <c r="H12" s="37"/>
      <c r="I12" s="37"/>
      <c r="J12" s="37"/>
      <c r="K12" s="36"/>
      <c r="M12" s="76">
        <f>C9</f>
        <v>2011</v>
      </c>
      <c r="N12" s="85">
        <f>D16*1000/D9</f>
        <v>26666.666666666668</v>
      </c>
      <c r="O12" s="85">
        <f>E16*1000/E9</f>
        <v>36666.666666666664</v>
      </c>
      <c r="P12" s="85">
        <f>F16*1000/F9</f>
        <v>40000</v>
      </c>
      <c r="Q12" s="85"/>
    </row>
    <row r="13" spans="1:17" x14ac:dyDescent="0.2">
      <c r="A13" s="38"/>
      <c r="B13" s="40"/>
      <c r="C13" s="62" t="s">
        <v>21</v>
      </c>
      <c r="D13" s="263" t="s">
        <v>150</v>
      </c>
      <c r="E13" s="264"/>
      <c r="F13" s="264"/>
      <c r="G13" s="265"/>
      <c r="H13" s="37"/>
      <c r="I13" s="37"/>
      <c r="J13" s="37"/>
      <c r="K13" s="36"/>
      <c r="M13" s="76">
        <f>C10</f>
        <v>2012</v>
      </c>
      <c r="N13" s="85">
        <f>D17*1000/D10</f>
        <v>28000</v>
      </c>
      <c r="O13" s="85">
        <f>E17*1000/E10</f>
        <v>76000</v>
      </c>
      <c r="P13" s="85"/>
      <c r="Q13" s="85"/>
    </row>
    <row r="14" spans="1:17" x14ac:dyDescent="0.2">
      <c r="A14" s="38"/>
      <c r="B14" s="40"/>
      <c r="C14" s="42" t="s">
        <v>149</v>
      </c>
      <c r="D14" s="51">
        <v>48</v>
      </c>
      <c r="E14" s="51">
        <v>60</v>
      </c>
      <c r="F14" s="51">
        <v>72</v>
      </c>
      <c r="G14" s="51">
        <v>84</v>
      </c>
      <c r="H14" s="37"/>
      <c r="I14" s="37"/>
      <c r="J14" s="37"/>
      <c r="K14" s="36"/>
      <c r="M14" s="76">
        <f>C11</f>
        <v>2013</v>
      </c>
      <c r="N14" s="85">
        <f>D18*1000/D11</f>
        <v>26250</v>
      </c>
      <c r="O14" s="85"/>
      <c r="P14" s="85"/>
      <c r="Q14" s="85"/>
    </row>
    <row r="15" spans="1:17" x14ac:dyDescent="0.2">
      <c r="A15" s="38"/>
      <c r="B15" s="40"/>
      <c r="C15" s="51">
        <v>2010</v>
      </c>
      <c r="D15" s="50">
        <v>1400</v>
      </c>
      <c r="E15" s="50">
        <v>2500</v>
      </c>
      <c r="F15" s="50">
        <v>2000</v>
      </c>
      <c r="G15" s="50">
        <v>400</v>
      </c>
      <c r="H15" s="37"/>
      <c r="I15" s="37"/>
      <c r="J15" s="37"/>
      <c r="K15" s="36"/>
      <c r="M15" s="5"/>
      <c r="N15" s="5"/>
      <c r="O15" s="5"/>
      <c r="P15" s="5"/>
      <c r="Q15" s="5"/>
    </row>
    <row r="16" spans="1:17" ht="17" x14ac:dyDescent="0.2">
      <c r="A16" s="38"/>
      <c r="B16" s="40"/>
      <c r="C16" s="51">
        <v>2011</v>
      </c>
      <c r="D16" s="50">
        <v>1600</v>
      </c>
      <c r="E16" s="50">
        <v>1100</v>
      </c>
      <c r="F16" s="50">
        <v>600</v>
      </c>
      <c r="G16" s="50"/>
      <c r="H16" s="37"/>
      <c r="I16" s="37"/>
      <c r="J16" s="37"/>
      <c r="K16" s="36"/>
      <c r="M16" s="82" t="s">
        <v>21</v>
      </c>
      <c r="N16" s="272" t="s">
        <v>78</v>
      </c>
      <c r="O16" s="273"/>
      <c r="P16" s="273"/>
      <c r="Q16" s="273"/>
    </row>
    <row r="17" spans="1:19" ht="17" x14ac:dyDescent="0.2">
      <c r="A17" s="38"/>
      <c r="B17" s="40"/>
      <c r="C17" s="51">
        <v>2012</v>
      </c>
      <c r="D17" s="50">
        <v>2800</v>
      </c>
      <c r="E17" s="50">
        <v>1900</v>
      </c>
      <c r="F17" s="50"/>
      <c r="G17" s="50"/>
      <c r="H17" s="37"/>
      <c r="I17" s="37"/>
      <c r="J17" s="37"/>
      <c r="K17" s="36"/>
      <c r="M17" s="80" t="s">
        <v>17</v>
      </c>
      <c r="N17" s="78">
        <f>N10</f>
        <v>48</v>
      </c>
      <c r="O17" s="78">
        <f>O10</f>
        <v>60</v>
      </c>
      <c r="P17" s="78">
        <f>P10</f>
        <v>72</v>
      </c>
      <c r="Q17" s="78">
        <f>Q10</f>
        <v>84</v>
      </c>
    </row>
    <row r="18" spans="1:19" x14ac:dyDescent="0.2">
      <c r="A18" s="38"/>
      <c r="B18" s="40"/>
      <c r="C18" s="51">
        <v>2013</v>
      </c>
      <c r="D18" s="50">
        <v>2100</v>
      </c>
      <c r="E18" s="50"/>
      <c r="F18" s="50"/>
      <c r="G18" s="50"/>
      <c r="H18" s="37"/>
      <c r="I18" s="37"/>
      <c r="J18" s="37"/>
      <c r="K18" s="36"/>
      <c r="M18" s="76">
        <f>M11</f>
        <v>2010</v>
      </c>
      <c r="N18" s="85">
        <f>N11*(1+$I$20)^(2016-$M18)</f>
        <v>31268.898281249996</v>
      </c>
      <c r="O18" s="85">
        <f>O11*(1+$I$20)^(2016-$M18)</f>
        <v>134009.56406249999</v>
      </c>
      <c r="P18" s="85">
        <f>P11*(1+$I$20)^(2016-$M18)</f>
        <v>178679.41875000001</v>
      </c>
      <c r="Q18" s="85">
        <f>Q11*(1+$I$20)^(2016-$M18)</f>
        <v>107207.65125</v>
      </c>
    </row>
    <row r="19" spans="1:19" x14ac:dyDescent="0.2">
      <c r="A19" s="38"/>
      <c r="B19" s="40"/>
      <c r="C19" s="37"/>
      <c r="D19" s="37"/>
      <c r="E19" s="37"/>
      <c r="F19" s="37"/>
      <c r="G19" s="37"/>
      <c r="H19" s="37"/>
      <c r="I19" s="37"/>
      <c r="J19" s="37"/>
      <c r="K19" s="36"/>
      <c r="M19" s="76">
        <f>M12</f>
        <v>2011</v>
      </c>
      <c r="N19" s="85">
        <f>N12*(1+$I$20)^(2016-$M19)</f>
        <v>34034.175000000003</v>
      </c>
      <c r="O19" s="85">
        <f>O12*(1+$I$20)^(2016-$M19)</f>
        <v>46796.990624999999</v>
      </c>
      <c r="P19" s="85">
        <f>P12*(1+$I$20)^(2016-$M19)</f>
        <v>51051.262500000004</v>
      </c>
      <c r="Q19" s="85"/>
    </row>
    <row r="20" spans="1:19" x14ac:dyDescent="0.2">
      <c r="A20" s="38"/>
      <c r="B20" s="40"/>
      <c r="C20" s="37" t="s">
        <v>148</v>
      </c>
      <c r="D20" s="37"/>
      <c r="E20" s="37"/>
      <c r="F20" s="37"/>
      <c r="G20" s="37"/>
      <c r="H20" s="37"/>
      <c r="I20" s="137">
        <v>0.05</v>
      </c>
      <c r="J20" s="136"/>
      <c r="K20" s="36"/>
      <c r="M20" s="76">
        <f>M13</f>
        <v>2012</v>
      </c>
      <c r="N20" s="85">
        <f>N13*(1+$I$20)^(2016-$M20)</f>
        <v>34034.175000000003</v>
      </c>
      <c r="O20" s="85">
        <f>O13*(1+$I$20)^(2016-$M20)</f>
        <v>92378.475000000006</v>
      </c>
      <c r="P20" s="85"/>
      <c r="Q20" s="85"/>
    </row>
    <row r="21" spans="1:19" x14ac:dyDescent="0.2">
      <c r="A21" s="38"/>
      <c r="B21" s="40"/>
      <c r="C21" s="37" t="s">
        <v>147</v>
      </c>
      <c r="D21" s="37"/>
      <c r="E21" s="37"/>
      <c r="F21" s="37"/>
      <c r="G21" s="37"/>
      <c r="H21" s="37"/>
      <c r="I21" s="135">
        <v>114000</v>
      </c>
      <c r="J21" s="134"/>
      <c r="K21" s="36"/>
      <c r="M21" s="76">
        <f>M14</f>
        <v>2013</v>
      </c>
      <c r="N21" s="85">
        <f>N14*(1+$I$20)^(2016-$M21)</f>
        <v>30387.656250000004</v>
      </c>
      <c r="O21" s="85"/>
      <c r="P21" s="85"/>
      <c r="Q21" s="85"/>
    </row>
    <row r="22" spans="1:19" x14ac:dyDescent="0.2">
      <c r="A22" s="38"/>
      <c r="B22" s="40"/>
      <c r="C22" s="37" t="s">
        <v>146</v>
      </c>
      <c r="D22" s="37"/>
      <c r="E22" s="37"/>
      <c r="F22" s="37"/>
      <c r="G22" s="37"/>
      <c r="H22" s="37"/>
      <c r="I22" s="135">
        <v>107000</v>
      </c>
      <c r="J22" s="134"/>
      <c r="K22" s="36"/>
    </row>
    <row r="23" spans="1:19" x14ac:dyDescent="0.2">
      <c r="A23" s="38"/>
      <c r="B23" s="37"/>
      <c r="C23" s="37"/>
      <c r="D23" s="37"/>
      <c r="E23" s="37"/>
      <c r="F23" s="37"/>
      <c r="G23" s="37"/>
      <c r="H23" s="37"/>
      <c r="I23" s="37"/>
      <c r="J23" s="37"/>
      <c r="K23" s="36"/>
      <c r="M23" s="133"/>
      <c r="N23" s="132"/>
      <c r="O23" s="131" t="s">
        <v>145</v>
      </c>
      <c r="P23" s="131" t="s">
        <v>144</v>
      </c>
      <c r="Q23" s="130" t="s">
        <v>143</v>
      </c>
      <c r="R23" s="130" t="s">
        <v>142</v>
      </c>
    </row>
    <row r="24" spans="1:19" x14ac:dyDescent="0.2">
      <c r="A24" s="38" t="s">
        <v>40</v>
      </c>
      <c r="B24" s="37" t="s">
        <v>141</v>
      </c>
      <c r="C24" s="91" t="s">
        <v>140</v>
      </c>
      <c r="D24" s="37"/>
      <c r="E24" s="37"/>
      <c r="F24" s="37"/>
      <c r="G24" s="37"/>
      <c r="H24" s="37"/>
      <c r="I24" s="37"/>
      <c r="J24" s="37"/>
      <c r="K24" s="36"/>
      <c r="M24" s="124" t="s">
        <v>139</v>
      </c>
      <c r="N24" s="129"/>
      <c r="O24" s="126">
        <f>SUM(D8:G11)</f>
        <v>415</v>
      </c>
      <c r="P24" s="126">
        <f>SUM(E8:G10)</f>
        <v>115</v>
      </c>
      <c r="Q24" s="120">
        <f>SUM(F8:G9)</f>
        <v>35</v>
      </c>
      <c r="R24" s="120">
        <f>SUM(G8)</f>
        <v>5</v>
      </c>
    </row>
    <row r="25" spans="1:19" ht="17" thickBot="1" x14ac:dyDescent="0.25">
      <c r="A25" s="38"/>
      <c r="B25" s="37"/>
      <c r="C25" s="91" t="s">
        <v>138</v>
      </c>
      <c r="D25" s="37"/>
      <c r="E25" s="37"/>
      <c r="F25" s="37"/>
      <c r="G25" s="37"/>
      <c r="H25" s="37"/>
      <c r="I25" s="37"/>
      <c r="J25" s="37"/>
      <c r="K25" s="36"/>
      <c r="M25" s="128" t="s">
        <v>137</v>
      </c>
      <c r="N25" s="127"/>
      <c r="O25" s="126">
        <f>SUMPRODUCT(N18:Q21,D8:G11)</f>
        <v>20798223.567187499</v>
      </c>
      <c r="P25" s="126">
        <f>SUMPRODUCT(O18:Q20,E8:G10)</f>
        <v>11045609.1703125</v>
      </c>
      <c r="Q25" s="125">
        <f>SUMPRODUCT(P18:Q19,F8:G9)</f>
        <v>3981998.4750000001</v>
      </c>
      <c r="R25" s="125">
        <f>SUMPRODUCT(Q18,G8)</f>
        <v>536038.25624999998</v>
      </c>
    </row>
    <row r="26" spans="1:19" ht="17" thickBot="1" x14ac:dyDescent="0.25">
      <c r="A26" s="38"/>
      <c r="B26" s="37"/>
      <c r="C26" s="91"/>
      <c r="D26" s="37"/>
      <c r="E26" s="37"/>
      <c r="F26" s="37"/>
      <c r="G26" s="37"/>
      <c r="H26" s="37"/>
      <c r="I26" s="37"/>
      <c r="J26" s="37"/>
      <c r="K26" s="36"/>
      <c r="M26" s="124" t="s">
        <v>136</v>
      </c>
      <c r="N26" s="123"/>
      <c r="O26" s="122">
        <f>O25/O24</f>
        <v>50116.201366716865</v>
      </c>
      <c r="P26" s="121">
        <f>P25/P24</f>
        <v>96048.775394021737</v>
      </c>
      <c r="Q26" s="120">
        <f>Q25/Q24</f>
        <v>113771.38500000001</v>
      </c>
      <c r="R26" s="120">
        <f>R25/R24</f>
        <v>107207.65125</v>
      </c>
    </row>
    <row r="27" spans="1:19" x14ac:dyDescent="0.2">
      <c r="A27" s="38" t="s">
        <v>36</v>
      </c>
      <c r="B27" s="37" t="s">
        <v>135</v>
      </c>
      <c r="C27" s="91" t="s">
        <v>134</v>
      </c>
      <c r="D27" s="37"/>
      <c r="E27" s="37"/>
      <c r="F27" s="37"/>
      <c r="G27" s="37"/>
      <c r="H27" s="37"/>
      <c r="I27" s="37"/>
      <c r="J27" s="37"/>
      <c r="K27" s="36"/>
    </row>
    <row r="28" spans="1:19" x14ac:dyDescent="0.2">
      <c r="A28" s="38"/>
      <c r="B28" s="37"/>
      <c r="C28" s="37" t="s">
        <v>133</v>
      </c>
      <c r="D28" s="37"/>
      <c r="E28" s="37"/>
      <c r="F28" s="37"/>
      <c r="G28" s="37"/>
      <c r="H28" s="37"/>
      <c r="I28" s="37"/>
      <c r="J28" s="37"/>
      <c r="K28" s="36"/>
      <c r="M28" s="286" t="s">
        <v>132</v>
      </c>
      <c r="N28" s="286"/>
      <c r="O28" s="286"/>
      <c r="P28" s="286"/>
      <c r="Q28" s="286"/>
      <c r="R28" s="286"/>
      <c r="S28" s="286"/>
    </row>
    <row r="29" spans="1:19" ht="17" thickBot="1" x14ac:dyDescent="0.25">
      <c r="A29" s="119"/>
      <c r="B29" s="88"/>
      <c r="C29" s="89"/>
      <c r="D29" s="88"/>
      <c r="E29" s="88"/>
      <c r="F29" s="88"/>
      <c r="G29" s="88"/>
      <c r="H29" s="88"/>
      <c r="I29" s="88"/>
      <c r="J29" s="88"/>
      <c r="K29" s="87"/>
      <c r="M29" s="286"/>
      <c r="N29" s="286"/>
      <c r="O29" s="286"/>
      <c r="P29" s="286"/>
      <c r="Q29" s="286"/>
      <c r="R29" s="286"/>
      <c r="S29" s="286"/>
    </row>
    <row r="30" spans="1:19" ht="17" thickBot="1" x14ac:dyDescent="0.25">
      <c r="A30" s="35" t="s">
        <v>32</v>
      </c>
      <c r="B30" s="33"/>
      <c r="C30" s="34"/>
      <c r="D30" s="33"/>
      <c r="E30" s="33"/>
      <c r="F30" s="33"/>
      <c r="G30" s="33"/>
      <c r="H30" s="33"/>
      <c r="I30" s="33"/>
      <c r="J30" s="33"/>
      <c r="K30" s="32"/>
    </row>
    <row r="32" spans="1:19" x14ac:dyDescent="0.2">
      <c r="M32" s="64" t="s">
        <v>11</v>
      </c>
    </row>
    <row r="33" spans="13:19" ht="16" customHeight="1" x14ac:dyDescent="0.2">
      <c r="M33" s="255" t="s">
        <v>131</v>
      </c>
      <c r="N33" s="255"/>
      <c r="O33" s="255"/>
      <c r="P33" s="255"/>
      <c r="Q33" s="255"/>
      <c r="R33" s="255"/>
      <c r="S33" s="255"/>
    </row>
    <row r="34" spans="13:19" x14ac:dyDescent="0.2">
      <c r="M34" s="255"/>
      <c r="N34" s="255"/>
      <c r="O34" s="255"/>
      <c r="P34" s="255"/>
      <c r="Q34" s="255"/>
      <c r="R34" s="255"/>
      <c r="S34" s="255"/>
    </row>
    <row r="35" spans="13:19" x14ac:dyDescent="0.2">
      <c r="M35" s="255"/>
      <c r="N35" s="255"/>
      <c r="O35" s="255"/>
      <c r="P35" s="255"/>
      <c r="Q35" s="255"/>
      <c r="R35" s="255"/>
      <c r="S35" s="255"/>
    </row>
    <row r="36" spans="13:19" x14ac:dyDescent="0.2">
      <c r="M36" s="255"/>
      <c r="N36" s="255"/>
      <c r="O36" s="255"/>
      <c r="P36" s="255"/>
      <c r="Q36" s="255"/>
      <c r="R36" s="255"/>
      <c r="S36" s="255"/>
    </row>
    <row r="39" spans="13:19" ht="19" x14ac:dyDescent="0.25">
      <c r="M39" s="72" t="s">
        <v>3</v>
      </c>
    </row>
    <row r="40" spans="13:19" x14ac:dyDescent="0.2">
      <c r="M40" s="255" t="s">
        <v>130</v>
      </c>
      <c r="N40" s="255"/>
      <c r="O40" s="255"/>
      <c r="P40" s="255"/>
      <c r="Q40" s="255"/>
      <c r="R40" s="255"/>
      <c r="S40" s="255"/>
    </row>
    <row r="41" spans="13:19" x14ac:dyDescent="0.2">
      <c r="M41" s="255"/>
      <c r="N41" s="255"/>
      <c r="O41" s="255"/>
      <c r="P41" s="255"/>
      <c r="Q41" s="255"/>
      <c r="R41" s="255"/>
      <c r="S41" s="255"/>
    </row>
    <row r="42" spans="13:19" x14ac:dyDescent="0.2">
      <c r="M42" s="255"/>
      <c r="N42" s="255"/>
      <c r="O42" s="255"/>
      <c r="P42" s="255"/>
      <c r="Q42" s="255"/>
      <c r="R42" s="255"/>
      <c r="S42" s="255"/>
    </row>
    <row r="43" spans="13:19" x14ac:dyDescent="0.2">
      <c r="M43" s="255"/>
      <c r="N43" s="255"/>
      <c r="O43" s="255"/>
      <c r="P43" s="255"/>
      <c r="Q43" s="255"/>
      <c r="R43" s="255"/>
      <c r="S43" s="255"/>
    </row>
    <row r="44" spans="13:19" x14ac:dyDescent="0.2">
      <c r="M44" s="255"/>
      <c r="N44" s="255"/>
      <c r="O44" s="255"/>
      <c r="P44" s="255"/>
      <c r="Q44" s="255"/>
      <c r="R44" s="255"/>
      <c r="S44" s="255"/>
    </row>
    <row r="45" spans="13:19" x14ac:dyDescent="0.2">
      <c r="M45" s="255"/>
      <c r="N45" s="255"/>
      <c r="O45" s="255"/>
      <c r="P45" s="255"/>
      <c r="Q45" s="255"/>
      <c r="R45" s="255"/>
      <c r="S45" s="255"/>
    </row>
    <row r="46" spans="13:19" x14ac:dyDescent="0.2">
      <c r="M46" s="255"/>
      <c r="N46" s="255"/>
      <c r="O46" s="255"/>
      <c r="P46" s="255"/>
      <c r="Q46" s="255"/>
      <c r="R46" s="255"/>
      <c r="S46" s="255"/>
    </row>
    <row r="48" spans="13:19" ht="19" x14ac:dyDescent="0.25">
      <c r="M48" s="72" t="s">
        <v>1</v>
      </c>
    </row>
    <row r="49" spans="13:13" x14ac:dyDescent="0.2">
      <c r="M49" s="1" t="s">
        <v>71</v>
      </c>
    </row>
  </sheetData>
  <mergeCells count="7">
    <mergeCell ref="M33:S36"/>
    <mergeCell ref="M40:S46"/>
    <mergeCell ref="D13:G13"/>
    <mergeCell ref="D6:G6"/>
    <mergeCell ref="N9:Q9"/>
    <mergeCell ref="N16:Q16"/>
    <mergeCell ref="M28:S29"/>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3239-CEBB-C645-9656-A06C1A5ED416}">
  <dimension ref="A1:X56"/>
  <sheetViews>
    <sheetView workbookViewId="0">
      <selection activeCell="R43" sqref="R43"/>
    </sheetView>
  </sheetViews>
  <sheetFormatPr baseColWidth="10" defaultColWidth="10.6640625" defaultRowHeight="16" outlineLevelCol="1" x14ac:dyDescent="0.2"/>
  <cols>
    <col min="1" max="1" width="4" style="1" customWidth="1"/>
    <col min="2" max="2" width="11.5" style="1" customWidth="1"/>
    <col min="3" max="3" width="10.6640625" style="1"/>
    <col min="4" max="4" width="11" style="1" customWidth="1"/>
    <col min="5" max="7" width="10.6640625" style="1"/>
    <col min="8" max="8" width="3.6640625" style="1" customWidth="1"/>
    <col min="9" max="9" width="10.6640625" style="1"/>
    <col min="10" max="12" width="11.5" style="1" customWidth="1"/>
    <col min="13" max="15" width="10.6640625" style="1"/>
    <col min="16" max="22" width="10.83203125" style="1" hidden="1" customWidth="1" outlineLevel="1"/>
    <col min="23" max="23" width="11.83203125" style="1" hidden="1" customWidth="1" outlineLevel="1"/>
    <col min="24" max="24" width="10.6640625" style="1" collapsed="1"/>
    <col min="25" max="16384" width="10.6640625" style="1"/>
  </cols>
  <sheetData>
    <row r="1" spans="1:23" x14ac:dyDescent="0.2">
      <c r="A1" s="100"/>
      <c r="B1" s="70" t="s">
        <v>70</v>
      </c>
      <c r="C1" s="69" t="s">
        <v>94</v>
      </c>
      <c r="D1" s="69" t="s">
        <v>68</v>
      </c>
      <c r="E1" s="69" t="s">
        <v>129</v>
      </c>
      <c r="F1" s="68"/>
      <c r="G1" s="68"/>
      <c r="H1" s="68"/>
      <c r="I1" s="68"/>
      <c r="J1" s="68"/>
      <c r="K1" s="68"/>
      <c r="L1" s="68"/>
      <c r="M1" s="68"/>
      <c r="N1" s="67"/>
      <c r="O1" s="64" t="s">
        <v>66</v>
      </c>
    </row>
    <row r="2" spans="1:23" x14ac:dyDescent="0.2">
      <c r="A2" s="92"/>
      <c r="B2" s="66" t="s">
        <v>65</v>
      </c>
      <c r="C2" s="65">
        <v>2.5</v>
      </c>
      <c r="D2" s="37"/>
      <c r="E2" s="37"/>
      <c r="F2" s="37"/>
      <c r="G2" s="37"/>
      <c r="H2" s="37"/>
      <c r="I2" s="37"/>
      <c r="J2" s="37"/>
      <c r="K2" s="37"/>
      <c r="L2" s="37"/>
      <c r="M2" s="37"/>
      <c r="N2" s="36"/>
    </row>
    <row r="3" spans="1:23" x14ac:dyDescent="0.2">
      <c r="A3" s="92"/>
      <c r="B3" s="37"/>
      <c r="C3" s="37"/>
      <c r="D3" s="37"/>
      <c r="E3" s="37"/>
      <c r="F3" s="37"/>
      <c r="G3" s="37"/>
      <c r="H3" s="37"/>
      <c r="I3" s="37"/>
      <c r="J3" s="37"/>
      <c r="K3" s="37"/>
      <c r="L3" s="37"/>
      <c r="M3" s="37"/>
      <c r="N3" s="36"/>
      <c r="P3" s="1" t="s">
        <v>128</v>
      </c>
    </row>
    <row r="4" spans="1:23" x14ac:dyDescent="0.2">
      <c r="A4" s="92"/>
      <c r="B4" s="37"/>
      <c r="C4" s="37" t="s">
        <v>127</v>
      </c>
      <c r="D4" s="37"/>
      <c r="E4" s="37"/>
      <c r="F4" s="37"/>
      <c r="G4" s="37"/>
      <c r="H4" s="37"/>
      <c r="I4" s="37"/>
      <c r="J4" s="37"/>
      <c r="K4" s="37"/>
      <c r="L4" s="37"/>
      <c r="M4" s="37"/>
      <c r="N4" s="36"/>
    </row>
    <row r="5" spans="1:23" x14ac:dyDescent="0.2">
      <c r="A5" s="92"/>
      <c r="B5" s="37"/>
      <c r="C5" s="37"/>
      <c r="D5" s="37"/>
      <c r="E5" s="37"/>
      <c r="F5" s="37"/>
      <c r="G5" s="37"/>
      <c r="H5" s="37"/>
      <c r="I5" s="37"/>
      <c r="J5" s="37"/>
      <c r="K5" s="37"/>
      <c r="L5" s="37"/>
      <c r="M5" s="37"/>
      <c r="N5" s="36"/>
      <c r="P5" s="5"/>
      <c r="Q5" s="5"/>
      <c r="R5" s="5"/>
      <c r="S5" s="5"/>
      <c r="T5" s="5"/>
      <c r="U5" s="5"/>
      <c r="V5" s="5"/>
      <c r="W5" s="5"/>
    </row>
    <row r="6" spans="1:23" x14ac:dyDescent="0.2">
      <c r="A6" s="92"/>
      <c r="B6" s="37"/>
      <c r="C6" s="287" t="s">
        <v>87</v>
      </c>
      <c r="D6" s="277" t="s">
        <v>126</v>
      </c>
      <c r="E6" s="277"/>
      <c r="F6" s="277"/>
      <c r="G6" s="277"/>
      <c r="H6" s="37"/>
      <c r="I6" s="287" t="s">
        <v>87</v>
      </c>
      <c r="J6" s="277" t="s">
        <v>125</v>
      </c>
      <c r="K6" s="277"/>
      <c r="L6" s="277"/>
      <c r="M6" s="277"/>
      <c r="N6" s="36"/>
      <c r="P6" s="266" t="s">
        <v>124</v>
      </c>
      <c r="Q6" s="266"/>
      <c r="R6" s="266"/>
      <c r="S6" s="266"/>
      <c r="T6" s="266"/>
      <c r="U6" s="114"/>
      <c r="V6" s="5"/>
      <c r="W6" s="5"/>
    </row>
    <row r="7" spans="1:23" ht="17" x14ac:dyDescent="0.2">
      <c r="A7" s="92"/>
      <c r="B7" s="37"/>
      <c r="C7" s="287"/>
      <c r="D7" s="51">
        <v>12</v>
      </c>
      <c r="E7" s="51">
        <v>24</v>
      </c>
      <c r="F7" s="51">
        <v>36</v>
      </c>
      <c r="G7" s="51">
        <v>48</v>
      </c>
      <c r="H7" s="37"/>
      <c r="I7" s="287"/>
      <c r="J7" s="51">
        <v>12</v>
      </c>
      <c r="K7" s="51">
        <v>24</v>
      </c>
      <c r="L7" s="51">
        <v>36</v>
      </c>
      <c r="M7" s="51">
        <v>48</v>
      </c>
      <c r="N7" s="36"/>
      <c r="P7" s="16"/>
      <c r="Q7" s="112" t="s">
        <v>113</v>
      </c>
      <c r="R7" s="111" t="s">
        <v>112</v>
      </c>
      <c r="S7" s="111" t="s">
        <v>111</v>
      </c>
      <c r="T7" s="111" t="s">
        <v>110</v>
      </c>
      <c r="U7" s="10"/>
      <c r="V7" s="10"/>
      <c r="W7" s="5"/>
    </row>
    <row r="8" spans="1:23" x14ac:dyDescent="0.2">
      <c r="A8" s="92"/>
      <c r="B8" s="37"/>
      <c r="C8" s="116">
        <v>2014</v>
      </c>
      <c r="D8" s="50">
        <v>3002</v>
      </c>
      <c r="E8" s="50">
        <v>3585</v>
      </c>
      <c r="F8" s="50">
        <v>3857</v>
      </c>
      <c r="G8" s="50">
        <v>4020</v>
      </c>
      <c r="H8" s="37"/>
      <c r="I8" s="116">
        <v>2014</v>
      </c>
      <c r="J8" s="116">
        <v>940</v>
      </c>
      <c r="K8" s="116">
        <v>975</v>
      </c>
      <c r="L8" s="116">
        <v>980</v>
      </c>
      <c r="M8" s="116">
        <v>980</v>
      </c>
      <c r="N8" s="36"/>
      <c r="P8" s="110" t="s">
        <v>109</v>
      </c>
      <c r="Q8" s="108">
        <f>AVERAGE(J16:J18)</f>
        <v>1.0392287067250268</v>
      </c>
      <c r="R8" s="108">
        <f>AVERAGE(K16:K18)</f>
        <v>1.0039240300346375</v>
      </c>
      <c r="S8" s="108">
        <f>AVERAGE(L16:L18)</f>
        <v>1</v>
      </c>
      <c r="T8" s="108">
        <v>1</v>
      </c>
      <c r="U8" s="10"/>
      <c r="V8" s="10"/>
      <c r="W8" s="5"/>
    </row>
    <row r="9" spans="1:23" x14ac:dyDescent="0.2">
      <c r="A9" s="92"/>
      <c r="B9" s="37"/>
      <c r="C9" s="116">
        <v>2015</v>
      </c>
      <c r="D9" s="50">
        <v>3440</v>
      </c>
      <c r="E9" s="50">
        <v>4107</v>
      </c>
      <c r="F9" s="50">
        <v>4522</v>
      </c>
      <c r="G9" s="50"/>
      <c r="H9" s="37"/>
      <c r="I9" s="116">
        <v>2015</v>
      </c>
      <c r="J9" s="117">
        <v>1060</v>
      </c>
      <c r="K9" s="117">
        <v>1103</v>
      </c>
      <c r="L9" s="117">
        <v>1106</v>
      </c>
      <c r="M9" s="116"/>
      <c r="N9" s="36"/>
      <c r="P9" s="110" t="s">
        <v>104</v>
      </c>
      <c r="Q9" s="109">
        <f>Q8*R9</f>
        <v>1.0433066713830732</v>
      </c>
      <c r="R9" s="109">
        <f>R8*S9</f>
        <v>1.0039240300346375</v>
      </c>
      <c r="S9" s="109">
        <f>S8*T9</f>
        <v>1</v>
      </c>
      <c r="T9" s="109">
        <f>T8</f>
        <v>1</v>
      </c>
      <c r="U9" s="10"/>
      <c r="V9" s="10"/>
      <c r="W9" s="5"/>
    </row>
    <row r="10" spans="1:23" x14ac:dyDescent="0.2">
      <c r="A10" s="92"/>
      <c r="B10" s="37"/>
      <c r="C10" s="116">
        <v>2016</v>
      </c>
      <c r="D10" s="50">
        <v>3427</v>
      </c>
      <c r="E10" s="50">
        <v>4109</v>
      </c>
      <c r="F10" s="50"/>
      <c r="G10" s="50"/>
      <c r="H10" s="37"/>
      <c r="I10" s="116">
        <v>2016</v>
      </c>
      <c r="J10" s="117">
        <v>1053</v>
      </c>
      <c r="K10" s="117">
        <v>1095</v>
      </c>
      <c r="L10" s="117"/>
      <c r="M10" s="116"/>
      <c r="N10" s="36"/>
      <c r="P10" s="10"/>
      <c r="Q10" s="10"/>
      <c r="R10" s="10"/>
      <c r="S10" s="10"/>
      <c r="T10" s="10"/>
      <c r="U10" s="10"/>
      <c r="V10" s="10"/>
      <c r="W10" s="5"/>
    </row>
    <row r="11" spans="1:23" x14ac:dyDescent="0.2">
      <c r="A11" s="92"/>
      <c r="B11" s="37"/>
      <c r="C11" s="116">
        <v>2017</v>
      </c>
      <c r="D11" s="51" t="s">
        <v>123</v>
      </c>
      <c r="E11" s="51"/>
      <c r="F11" s="51"/>
      <c r="G11" s="51"/>
      <c r="H11" s="37"/>
      <c r="I11" s="116">
        <v>2017</v>
      </c>
      <c r="J11" s="117">
        <v>1085</v>
      </c>
      <c r="K11" s="117"/>
      <c r="L11" s="117"/>
      <c r="M11" s="116"/>
      <c r="N11" s="36"/>
      <c r="P11" s="266" t="s">
        <v>122</v>
      </c>
      <c r="Q11" s="266"/>
      <c r="R11" s="266"/>
      <c r="S11" s="266"/>
      <c r="T11" s="266"/>
      <c r="U11" s="114"/>
      <c r="V11" s="10"/>
      <c r="W11" s="5"/>
    </row>
    <row r="12" spans="1:23" x14ac:dyDescent="0.2">
      <c r="A12" s="92"/>
      <c r="B12" s="37"/>
      <c r="C12" s="37"/>
      <c r="D12" s="37"/>
      <c r="E12" s="37"/>
      <c r="F12" s="37"/>
      <c r="G12" s="37"/>
      <c r="H12" s="37"/>
      <c r="I12" s="37"/>
      <c r="J12" s="37"/>
      <c r="K12" s="37"/>
      <c r="L12" s="37"/>
      <c r="M12" s="37"/>
      <c r="N12" s="36"/>
      <c r="P12" s="24" t="s">
        <v>21</v>
      </c>
      <c r="Q12" s="114"/>
      <c r="R12" s="114"/>
      <c r="S12" s="114"/>
      <c r="T12" s="114"/>
      <c r="U12" s="9"/>
      <c r="V12" s="9"/>
      <c r="W12" s="5"/>
    </row>
    <row r="13" spans="1:23" ht="17" x14ac:dyDescent="0.2">
      <c r="A13" s="93"/>
      <c r="B13" s="40"/>
      <c r="C13" s="37"/>
      <c r="D13" s="37"/>
      <c r="E13" s="37"/>
      <c r="F13" s="37"/>
      <c r="G13" s="37"/>
      <c r="H13" s="37"/>
      <c r="I13" s="37"/>
      <c r="J13" s="37"/>
      <c r="K13" s="37"/>
      <c r="L13" s="37"/>
      <c r="M13" s="37"/>
      <c r="N13" s="36"/>
      <c r="P13" s="16" t="s">
        <v>17</v>
      </c>
      <c r="Q13" s="111">
        <v>12</v>
      </c>
      <c r="R13" s="111">
        <v>24</v>
      </c>
      <c r="S13" s="111">
        <v>36</v>
      </c>
      <c r="T13" s="111">
        <v>48</v>
      </c>
      <c r="U13" s="9"/>
      <c r="V13" s="9"/>
      <c r="W13" s="5"/>
    </row>
    <row r="14" spans="1:23" x14ac:dyDescent="0.2">
      <c r="A14" s="93"/>
      <c r="B14" s="40"/>
      <c r="C14" s="287" t="s">
        <v>87</v>
      </c>
      <c r="D14" s="277" t="s">
        <v>121</v>
      </c>
      <c r="E14" s="277"/>
      <c r="F14" s="277"/>
      <c r="G14" s="37"/>
      <c r="H14" s="37"/>
      <c r="I14" s="287" t="s">
        <v>87</v>
      </c>
      <c r="J14" s="288" t="s">
        <v>120</v>
      </c>
      <c r="K14" s="288"/>
      <c r="L14" s="288"/>
      <c r="M14" s="37"/>
      <c r="N14" s="36"/>
      <c r="P14" s="11">
        <f>C8</f>
        <v>2014</v>
      </c>
      <c r="Q14" s="9">
        <f>D8*1000/J8</f>
        <v>3193.6170212765956</v>
      </c>
      <c r="R14" s="9">
        <f>E8*1000/K8</f>
        <v>3676.9230769230771</v>
      </c>
      <c r="S14" s="9">
        <f>F8*1000/L8</f>
        <v>3935.7142857142858</v>
      </c>
      <c r="T14" s="9">
        <f>G8*1000/M8</f>
        <v>4102.0408163265311</v>
      </c>
      <c r="U14" s="9"/>
      <c r="V14" s="9"/>
      <c r="W14" s="9"/>
    </row>
    <row r="15" spans="1:23" x14ac:dyDescent="0.2">
      <c r="A15" s="93"/>
      <c r="B15" s="40"/>
      <c r="C15" s="287"/>
      <c r="D15" s="51" t="s">
        <v>113</v>
      </c>
      <c r="E15" s="51" t="s">
        <v>112</v>
      </c>
      <c r="F15" s="51" t="s">
        <v>111</v>
      </c>
      <c r="G15" s="37"/>
      <c r="H15" s="37"/>
      <c r="I15" s="287"/>
      <c r="J15" s="116" t="s">
        <v>113</v>
      </c>
      <c r="K15" s="116" t="s">
        <v>112</v>
      </c>
      <c r="L15" s="116" t="s">
        <v>111</v>
      </c>
      <c r="M15" s="37"/>
      <c r="N15" s="36"/>
      <c r="P15" s="11">
        <f>C9</f>
        <v>2015</v>
      </c>
      <c r="Q15" s="9">
        <f>D9*1000/J9</f>
        <v>3245.2830188679245</v>
      </c>
      <c r="R15" s="9">
        <f>E9*1000/K9</f>
        <v>3723.4814143245694</v>
      </c>
      <c r="S15" s="9">
        <f>F9*1000/L9</f>
        <v>4088.6075949367087</v>
      </c>
      <c r="T15" s="9"/>
      <c r="U15" s="9"/>
      <c r="V15" s="9"/>
      <c r="W15" s="9"/>
    </row>
    <row r="16" spans="1:23" x14ac:dyDescent="0.2">
      <c r="A16" s="93"/>
      <c r="B16" s="40"/>
      <c r="C16" s="51">
        <v>2014</v>
      </c>
      <c r="D16" s="52">
        <v>1.1942038640906063</v>
      </c>
      <c r="E16" s="52">
        <v>1.0758716875871688</v>
      </c>
      <c r="F16" s="52">
        <v>1.0422608244749805</v>
      </c>
      <c r="G16" s="37"/>
      <c r="H16" s="37"/>
      <c r="I16" s="116">
        <v>2014</v>
      </c>
      <c r="J16" s="115">
        <v>1.0372340425531914</v>
      </c>
      <c r="K16" s="115">
        <v>1.0051282051282051</v>
      </c>
      <c r="L16" s="115">
        <v>1</v>
      </c>
      <c r="M16" s="37"/>
      <c r="N16" s="36"/>
      <c r="P16" s="11">
        <f>C10</f>
        <v>2016</v>
      </c>
      <c r="Q16" s="9">
        <f>D10*1000/J10</f>
        <v>3254.510921177588</v>
      </c>
      <c r="R16" s="9">
        <f>E10*1000/K10</f>
        <v>3752.511415525114</v>
      </c>
      <c r="S16" s="9"/>
      <c r="T16" s="9"/>
      <c r="U16" s="9"/>
      <c r="V16" s="9"/>
      <c r="W16" s="9"/>
    </row>
    <row r="17" spans="1:23" ht="17" x14ac:dyDescent="0.2">
      <c r="A17" s="93"/>
      <c r="B17" s="40"/>
      <c r="C17" s="51">
        <v>2015</v>
      </c>
      <c r="D17" s="52">
        <v>1.1938953488372093</v>
      </c>
      <c r="E17" s="52">
        <v>1.1010469929388849</v>
      </c>
      <c r="F17" s="52"/>
      <c r="G17" s="37"/>
      <c r="H17" s="37"/>
      <c r="I17" s="116">
        <v>2015</v>
      </c>
      <c r="J17" s="115">
        <v>1.040566037735849</v>
      </c>
      <c r="K17" s="115">
        <v>1.0027198549410699</v>
      </c>
      <c r="L17" s="115"/>
      <c r="M17" s="37"/>
      <c r="N17" s="36"/>
      <c r="P17" s="11">
        <f>C11</f>
        <v>2017</v>
      </c>
      <c r="Q17" s="9" t="s">
        <v>119</v>
      </c>
      <c r="R17" s="9"/>
      <c r="S17" s="9"/>
      <c r="T17" s="9"/>
      <c r="U17" s="9"/>
      <c r="V17" s="9"/>
      <c r="W17" s="9"/>
    </row>
    <row r="18" spans="1:23" x14ac:dyDescent="0.2">
      <c r="A18" s="93"/>
      <c r="B18" s="40"/>
      <c r="C18" s="51">
        <v>2016</v>
      </c>
      <c r="D18" s="52">
        <v>1.1990078786110301</v>
      </c>
      <c r="E18" s="52"/>
      <c r="F18" s="52"/>
      <c r="G18" s="37"/>
      <c r="H18" s="37"/>
      <c r="I18" s="116">
        <v>2016</v>
      </c>
      <c r="J18" s="115">
        <v>1.0398860398860399</v>
      </c>
      <c r="K18" s="115"/>
      <c r="L18" s="115"/>
      <c r="M18" s="37"/>
      <c r="N18" s="36"/>
      <c r="P18" s="5"/>
      <c r="Q18" s="5"/>
      <c r="R18" s="5"/>
      <c r="S18" s="5"/>
      <c r="T18" s="5"/>
      <c r="U18" s="5"/>
      <c r="V18" s="5"/>
      <c r="W18" s="5"/>
    </row>
    <row r="19" spans="1:23" x14ac:dyDescent="0.2">
      <c r="A19" s="93"/>
      <c r="B19" s="40"/>
      <c r="C19" s="37"/>
      <c r="D19" s="37"/>
      <c r="E19" s="37"/>
      <c r="F19" s="37"/>
      <c r="G19" s="37"/>
      <c r="H19" s="37"/>
      <c r="I19" s="37"/>
      <c r="J19" s="37"/>
      <c r="K19" s="37"/>
      <c r="L19" s="37"/>
      <c r="M19" s="37"/>
      <c r="N19" s="36"/>
      <c r="P19" s="266" t="s">
        <v>118</v>
      </c>
      <c r="Q19" s="266"/>
      <c r="R19" s="266"/>
      <c r="S19" s="266"/>
      <c r="T19" s="266"/>
      <c r="U19" s="114"/>
      <c r="V19" s="5"/>
      <c r="W19" s="5"/>
    </row>
    <row r="20" spans="1:23" x14ac:dyDescent="0.2">
      <c r="A20" s="93"/>
      <c r="B20" s="40"/>
      <c r="C20" s="113">
        <v>0.05</v>
      </c>
      <c r="D20" s="37" t="s">
        <v>83</v>
      </c>
      <c r="E20" s="37"/>
      <c r="F20" s="37"/>
      <c r="G20" s="37"/>
      <c r="H20" s="37"/>
      <c r="I20" s="37"/>
      <c r="J20" s="37"/>
      <c r="K20" s="37"/>
      <c r="L20" s="37"/>
      <c r="M20" s="37"/>
      <c r="N20" s="36"/>
      <c r="P20" s="24" t="s">
        <v>21</v>
      </c>
      <c r="Q20" s="10"/>
      <c r="R20" s="10"/>
      <c r="S20" s="10"/>
      <c r="T20" s="10"/>
      <c r="U20" s="10"/>
      <c r="V20" s="5"/>
      <c r="W20" s="5"/>
    </row>
    <row r="21" spans="1:23" ht="17" x14ac:dyDescent="0.2">
      <c r="A21" s="93"/>
      <c r="B21" s="40"/>
      <c r="C21" s="113">
        <v>0.3</v>
      </c>
      <c r="D21" s="37" t="s">
        <v>117</v>
      </c>
      <c r="E21" s="37"/>
      <c r="F21" s="37"/>
      <c r="G21" s="37"/>
      <c r="H21" s="37"/>
      <c r="I21" s="37"/>
      <c r="J21" s="37"/>
      <c r="K21" s="37"/>
      <c r="L21" s="37"/>
      <c r="M21" s="37"/>
      <c r="N21" s="36"/>
      <c r="P21" s="16" t="s">
        <v>17</v>
      </c>
      <c r="Q21" s="112" t="s">
        <v>113</v>
      </c>
      <c r="R21" s="111" t="s">
        <v>112</v>
      </c>
      <c r="S21" s="111" t="s">
        <v>111</v>
      </c>
      <c r="T21" s="108"/>
      <c r="U21" s="108"/>
      <c r="V21" s="5"/>
      <c r="W21" s="5"/>
    </row>
    <row r="22" spans="1:23" x14ac:dyDescent="0.2">
      <c r="A22" s="93"/>
      <c r="B22" s="40"/>
      <c r="C22" s="37"/>
      <c r="D22" s="37"/>
      <c r="E22" s="37"/>
      <c r="F22" s="37"/>
      <c r="G22" s="37"/>
      <c r="H22" s="37"/>
      <c r="I22" s="37"/>
      <c r="J22" s="37"/>
      <c r="K22" s="37"/>
      <c r="L22" s="37"/>
      <c r="M22" s="37"/>
      <c r="N22" s="36"/>
      <c r="P22" s="11">
        <f>P14</f>
        <v>2014</v>
      </c>
      <c r="Q22" s="108">
        <f>R14/Q14</f>
        <v>1.1513350074309436</v>
      </c>
      <c r="R22" s="108">
        <f>S14/R14</f>
        <v>1.0703825463239689</v>
      </c>
      <c r="S22" s="108">
        <f>T14/S14</f>
        <v>1.0422608244749807</v>
      </c>
      <c r="T22" s="108"/>
      <c r="U22" s="108"/>
      <c r="V22" s="5"/>
      <c r="W22" s="5"/>
    </row>
    <row r="23" spans="1:23" x14ac:dyDescent="0.2">
      <c r="A23" s="92"/>
      <c r="B23" s="37"/>
      <c r="C23" s="37" t="s">
        <v>116</v>
      </c>
      <c r="D23" s="37"/>
      <c r="E23" s="37"/>
      <c r="F23" s="37"/>
      <c r="G23" s="37"/>
      <c r="H23" s="37"/>
      <c r="I23" s="37"/>
      <c r="J23" s="37"/>
      <c r="K23" s="37"/>
      <c r="L23" s="37"/>
      <c r="M23" s="37"/>
      <c r="N23" s="36"/>
      <c r="P23" s="11">
        <f>P15</f>
        <v>2015</v>
      </c>
      <c r="Q23" s="108">
        <f>R15/Q15</f>
        <v>1.1473518311581523</v>
      </c>
      <c r="R23" s="108">
        <f>S15/R15</f>
        <v>1.0980604278585804</v>
      </c>
      <c r="S23" s="108"/>
      <c r="T23" s="108"/>
      <c r="U23" s="108"/>
      <c r="V23" s="5"/>
      <c r="W23" s="5"/>
    </row>
    <row r="24" spans="1:23" x14ac:dyDescent="0.2">
      <c r="A24" s="92"/>
      <c r="B24" s="37"/>
      <c r="C24" s="91" t="s">
        <v>115</v>
      </c>
      <c r="D24" s="37"/>
      <c r="E24" s="37"/>
      <c r="F24" s="37"/>
      <c r="G24" s="37"/>
      <c r="H24" s="37"/>
      <c r="I24" s="37"/>
      <c r="J24" s="37"/>
      <c r="K24" s="37"/>
      <c r="L24" s="37"/>
      <c r="M24" s="37"/>
      <c r="N24" s="36"/>
      <c r="P24" s="11">
        <f>P16</f>
        <v>2016</v>
      </c>
      <c r="Q24" s="108">
        <f>R16/Q16</f>
        <v>1.1530185353218398</v>
      </c>
      <c r="R24" s="108"/>
      <c r="S24" s="108"/>
      <c r="T24" s="108"/>
      <c r="U24" s="108"/>
      <c r="V24" s="5"/>
      <c r="W24" s="10"/>
    </row>
    <row r="25" spans="1:23" x14ac:dyDescent="0.2">
      <c r="A25" s="92"/>
      <c r="B25" s="37"/>
      <c r="C25" s="91"/>
      <c r="D25" s="37"/>
      <c r="E25" s="37"/>
      <c r="F25" s="37"/>
      <c r="G25" s="37"/>
      <c r="H25" s="37"/>
      <c r="I25" s="37"/>
      <c r="J25" s="37"/>
      <c r="K25" s="37"/>
      <c r="L25" s="37"/>
      <c r="M25" s="37"/>
      <c r="N25" s="36"/>
      <c r="P25" s="10"/>
      <c r="Q25" s="10"/>
      <c r="R25" s="10"/>
      <c r="S25" s="10"/>
      <c r="T25" s="10"/>
      <c r="U25" s="10"/>
      <c r="V25" s="10"/>
      <c r="W25" s="10"/>
    </row>
    <row r="26" spans="1:23" ht="17" x14ac:dyDescent="0.2">
      <c r="A26" s="92"/>
      <c r="B26" s="37"/>
      <c r="C26" s="37" t="s">
        <v>114</v>
      </c>
      <c r="D26" s="37"/>
      <c r="E26" s="37"/>
      <c r="F26" s="37"/>
      <c r="G26" s="37"/>
      <c r="H26" s="37"/>
      <c r="I26" s="37"/>
      <c r="J26" s="37"/>
      <c r="K26" s="37"/>
      <c r="L26" s="37"/>
      <c r="M26" s="37"/>
      <c r="N26" s="36"/>
      <c r="P26" s="16"/>
      <c r="Q26" s="112" t="s">
        <v>113</v>
      </c>
      <c r="R26" s="111" t="s">
        <v>112</v>
      </c>
      <c r="S26" s="111" t="s">
        <v>111</v>
      </c>
      <c r="T26" s="111" t="s">
        <v>110</v>
      </c>
      <c r="U26" s="10"/>
      <c r="V26" s="10"/>
      <c r="W26" s="10"/>
    </row>
    <row r="27" spans="1:23" ht="17" thickBot="1" x14ac:dyDescent="0.25">
      <c r="A27" s="90"/>
      <c r="B27" s="88"/>
      <c r="C27" s="89"/>
      <c r="D27" s="88"/>
      <c r="E27" s="88"/>
      <c r="F27" s="88"/>
      <c r="G27" s="88"/>
      <c r="H27" s="88"/>
      <c r="I27" s="88"/>
      <c r="J27" s="88"/>
      <c r="K27" s="88"/>
      <c r="L27" s="88"/>
      <c r="M27" s="88"/>
      <c r="N27" s="87"/>
      <c r="P27" s="110" t="s">
        <v>109</v>
      </c>
      <c r="Q27" s="108">
        <f>AVERAGE(Q22:Q24)</f>
        <v>1.1505684579703119</v>
      </c>
      <c r="R27" s="108">
        <f>AVERAGE(R22:R24)</f>
        <v>1.0842214870912747</v>
      </c>
      <c r="S27" s="108">
        <f>AVERAGE(S22:S24)</f>
        <v>1.0422608244749807</v>
      </c>
      <c r="T27" s="108">
        <v>1</v>
      </c>
      <c r="U27" s="10"/>
      <c r="V27" s="10"/>
      <c r="W27" s="10"/>
    </row>
    <row r="28" spans="1:23" ht="17" thickBot="1" x14ac:dyDescent="0.25">
      <c r="A28" s="86" t="s">
        <v>32</v>
      </c>
      <c r="B28" s="33"/>
      <c r="C28" s="34"/>
      <c r="D28" s="33"/>
      <c r="E28" s="33"/>
      <c r="F28" s="33"/>
      <c r="G28" s="33"/>
      <c r="H28" s="33"/>
      <c r="I28" s="33"/>
      <c r="J28" s="33"/>
      <c r="K28" s="33"/>
      <c r="L28" s="33"/>
      <c r="M28" s="33"/>
      <c r="N28" s="32"/>
      <c r="P28" s="110" t="s">
        <v>104</v>
      </c>
      <c r="Q28" s="109">
        <f>Q27*R28</f>
        <v>1.3001901993501592</v>
      </c>
      <c r="R28" s="109">
        <f>R27*S28</f>
        <v>1.1300415810492417</v>
      </c>
      <c r="S28" s="109">
        <f>S27*T28</f>
        <v>1.0422608244749807</v>
      </c>
      <c r="T28" s="109">
        <f>T27</f>
        <v>1</v>
      </c>
      <c r="U28" s="10"/>
      <c r="V28" s="10"/>
      <c r="W28" s="10"/>
    </row>
    <row r="29" spans="1:23" x14ac:dyDescent="0.2">
      <c r="P29" s="5"/>
      <c r="Q29" s="5"/>
      <c r="R29" s="5"/>
      <c r="S29" s="5"/>
      <c r="T29" s="5"/>
      <c r="U29" s="5"/>
      <c r="V29" s="5"/>
      <c r="W29" s="10"/>
    </row>
    <row r="30" spans="1:23" x14ac:dyDescent="0.2">
      <c r="P30" s="5" t="s">
        <v>108</v>
      </c>
      <c r="Q30" s="5"/>
      <c r="R30" s="5"/>
      <c r="S30" s="5"/>
      <c r="T30" s="5"/>
      <c r="U30" s="5"/>
      <c r="V30" s="5"/>
      <c r="W30" s="10"/>
    </row>
    <row r="31" spans="1:23" x14ac:dyDescent="0.2">
      <c r="P31" s="5"/>
      <c r="Q31" s="5"/>
      <c r="R31" s="5"/>
      <c r="S31" s="5"/>
      <c r="T31" s="5"/>
      <c r="U31" s="5"/>
      <c r="V31" s="5"/>
      <c r="W31" s="10"/>
    </row>
    <row r="32" spans="1:23" x14ac:dyDescent="0.2">
      <c r="P32" s="24" t="s">
        <v>21</v>
      </c>
      <c r="Q32" s="23" t="s">
        <v>107</v>
      </c>
      <c r="R32" s="5"/>
      <c r="S32" s="23" t="s">
        <v>30</v>
      </c>
      <c r="T32" s="23" t="s">
        <v>30</v>
      </c>
      <c r="U32" s="24" t="s">
        <v>106</v>
      </c>
      <c r="V32" s="23" t="s">
        <v>105</v>
      </c>
      <c r="W32" s="10"/>
    </row>
    <row r="33" spans="16:23" ht="17" x14ac:dyDescent="0.2">
      <c r="P33" s="16" t="s">
        <v>17</v>
      </c>
      <c r="Q33" s="21" t="s">
        <v>14</v>
      </c>
      <c r="R33" s="21" t="s">
        <v>104</v>
      </c>
      <c r="S33" s="21" t="s">
        <v>103</v>
      </c>
      <c r="T33" s="21" t="s">
        <v>26</v>
      </c>
      <c r="U33" s="16" t="s">
        <v>26</v>
      </c>
      <c r="V33" s="21" t="s">
        <v>14</v>
      </c>
      <c r="W33" s="10"/>
    </row>
    <row r="34" spans="16:23" x14ac:dyDescent="0.2">
      <c r="P34" s="11">
        <f>P22</f>
        <v>2014</v>
      </c>
      <c r="Q34" s="9">
        <f>T14</f>
        <v>4102.0408163265311</v>
      </c>
      <c r="R34" s="108">
        <f>T28</f>
        <v>1</v>
      </c>
      <c r="S34" s="29">
        <v>3</v>
      </c>
      <c r="T34" s="28">
        <f>(1+$C$20)^S34</f>
        <v>1.1576250000000001</v>
      </c>
      <c r="U34" s="107">
        <f>1-$C$21</f>
        <v>0.7</v>
      </c>
      <c r="V34" s="9">
        <f>Q34*R34*T34*U34</f>
        <v>3324.0375000000004</v>
      </c>
      <c r="W34" s="10"/>
    </row>
    <row r="35" spans="16:23" x14ac:dyDescent="0.2">
      <c r="P35" s="11">
        <f>P23</f>
        <v>2015</v>
      </c>
      <c r="Q35" s="9">
        <f>S15</f>
        <v>4088.6075949367087</v>
      </c>
      <c r="R35" s="108">
        <f>S28</f>
        <v>1.0422608244749807</v>
      </c>
      <c r="S35" s="29">
        <v>2</v>
      </c>
      <c r="T35" s="28">
        <f>(1+$C$20)^S35</f>
        <v>1.1025</v>
      </c>
      <c r="U35" s="107">
        <f>1-$C$21</f>
        <v>0.7</v>
      </c>
      <c r="V35" s="9">
        <f>Q35*R35*T35*U35</f>
        <v>3288.7319947621131</v>
      </c>
      <c r="W35" s="10"/>
    </row>
    <row r="36" spans="16:23" x14ac:dyDescent="0.2">
      <c r="P36" s="11">
        <f>P24</f>
        <v>2016</v>
      </c>
      <c r="Q36" s="9">
        <f>R16</f>
        <v>3752.511415525114</v>
      </c>
      <c r="R36" s="108">
        <f>R28</f>
        <v>1.1300415810492417</v>
      </c>
      <c r="S36" s="29">
        <v>1</v>
      </c>
      <c r="T36" s="28">
        <f>(1+$C$20)^S36</f>
        <v>1.05</v>
      </c>
      <c r="U36" s="107">
        <f>1-$C$21</f>
        <v>0.7</v>
      </c>
      <c r="V36" s="9">
        <f>Q36*R36*T36*U36</f>
        <v>3116.7630406854159</v>
      </c>
      <c r="W36" s="10"/>
    </row>
    <row r="37" spans="16:23" x14ac:dyDescent="0.2">
      <c r="P37" s="5"/>
      <c r="Q37" s="5"/>
      <c r="R37" s="5"/>
      <c r="S37" s="5"/>
      <c r="T37" s="5"/>
      <c r="U37" s="5"/>
      <c r="V37" s="5"/>
      <c r="W37" s="10"/>
    </row>
    <row r="38" spans="16:23" x14ac:dyDescent="0.2">
      <c r="P38" s="5"/>
      <c r="Q38" s="5"/>
      <c r="R38" s="5"/>
      <c r="S38" s="7" t="s">
        <v>102</v>
      </c>
      <c r="T38" s="64"/>
      <c r="U38" s="7"/>
      <c r="V38" s="106">
        <f>AVERAGE(V34:V36)</f>
        <v>3243.1775118158425</v>
      </c>
      <c r="W38" s="10"/>
    </row>
    <row r="39" spans="16:23" x14ac:dyDescent="0.2">
      <c r="P39" s="5"/>
      <c r="Q39" s="5"/>
      <c r="R39" s="5"/>
      <c r="S39" s="5"/>
      <c r="T39" s="5"/>
      <c r="U39" s="5"/>
      <c r="V39" s="5"/>
      <c r="W39" s="10"/>
    </row>
    <row r="40" spans="16:23" x14ac:dyDescent="0.2">
      <c r="P40" s="5" t="s">
        <v>101</v>
      </c>
      <c r="Q40" s="5"/>
      <c r="R40" s="5"/>
      <c r="S40" s="5"/>
      <c r="T40" s="5"/>
      <c r="U40" s="5"/>
      <c r="V40" s="5"/>
      <c r="W40" s="10"/>
    </row>
    <row r="41" spans="16:23" x14ac:dyDescent="0.2">
      <c r="P41" s="5"/>
      <c r="Q41" s="5"/>
      <c r="R41" s="5"/>
      <c r="S41" s="5"/>
      <c r="T41" s="5"/>
      <c r="U41" s="5"/>
      <c r="V41" s="5"/>
      <c r="W41" s="5"/>
    </row>
    <row r="42" spans="16:23" x14ac:dyDescent="0.2">
      <c r="P42" s="5" t="s">
        <v>100</v>
      </c>
      <c r="Q42" s="5"/>
      <c r="R42" s="5"/>
      <c r="S42" s="5"/>
      <c r="T42" s="5"/>
      <c r="U42" s="5"/>
      <c r="V42" s="5"/>
      <c r="W42" s="5"/>
    </row>
    <row r="43" spans="16:23" x14ac:dyDescent="0.2">
      <c r="P43" s="5"/>
      <c r="Q43" s="5"/>
      <c r="R43" s="5"/>
      <c r="S43" s="5"/>
      <c r="T43" s="5"/>
      <c r="U43" s="5"/>
      <c r="V43" s="5"/>
      <c r="W43" s="5"/>
    </row>
    <row r="44" spans="16:23" x14ac:dyDescent="0.2">
      <c r="P44" s="5" t="s">
        <v>99</v>
      </c>
      <c r="Q44" s="5"/>
      <c r="R44" s="25">
        <f>J11*Q9</f>
        <v>1131.9877384506344</v>
      </c>
      <c r="S44" s="5"/>
      <c r="T44" s="5"/>
      <c r="U44" s="5"/>
      <c r="V44" s="5"/>
      <c r="W44" s="5"/>
    </row>
    <row r="45" spans="16:23" ht="17" thickBot="1" x14ac:dyDescent="0.25">
      <c r="P45" s="5" t="s">
        <v>98</v>
      </c>
      <c r="Q45" s="5"/>
      <c r="R45" s="25">
        <f>V38</f>
        <v>3243.1775118158425</v>
      </c>
      <c r="S45" s="5"/>
      <c r="T45" s="5"/>
      <c r="U45" s="5"/>
      <c r="V45" s="5"/>
      <c r="W45" s="5"/>
    </row>
    <row r="46" spans="16:23" ht="17" thickBot="1" x14ac:dyDescent="0.25">
      <c r="P46" s="105" t="s">
        <v>97</v>
      </c>
      <c r="Q46" s="104"/>
      <c r="R46" s="103">
        <f>R44*R45</f>
        <v>3671237.1769943712</v>
      </c>
      <c r="S46" s="5"/>
      <c r="T46" s="5"/>
      <c r="U46" s="5"/>
      <c r="V46" s="5"/>
      <c r="W46" s="5"/>
    </row>
    <row r="47" spans="16:23" x14ac:dyDescent="0.2">
      <c r="P47" s="5"/>
      <c r="Q47" s="5"/>
      <c r="R47" s="5"/>
      <c r="S47" s="5"/>
      <c r="T47" s="5"/>
      <c r="U47" s="5"/>
      <c r="V47" s="5"/>
      <c r="W47" s="5"/>
    </row>
    <row r="50" spans="16:23" ht="19" x14ac:dyDescent="0.25">
      <c r="P50" s="101" t="s">
        <v>3</v>
      </c>
    </row>
    <row r="51" spans="16:23" x14ac:dyDescent="0.2">
      <c r="P51" s="256" t="s">
        <v>96</v>
      </c>
      <c r="Q51" s="256"/>
      <c r="R51" s="256"/>
      <c r="S51" s="256"/>
      <c r="T51" s="256"/>
      <c r="U51" s="256"/>
      <c r="V51" s="256"/>
      <c r="W51" s="256"/>
    </row>
    <row r="52" spans="16:23" x14ac:dyDescent="0.2">
      <c r="P52" s="256"/>
      <c r="Q52" s="256"/>
      <c r="R52" s="256"/>
      <c r="S52" s="256"/>
      <c r="T52" s="256"/>
      <c r="U52" s="256"/>
      <c r="V52" s="256"/>
      <c r="W52" s="256"/>
    </row>
    <row r="53" spans="16:23" x14ac:dyDescent="0.2">
      <c r="P53" s="256"/>
      <c r="Q53" s="256"/>
      <c r="R53" s="256"/>
      <c r="S53" s="256"/>
      <c r="T53" s="256"/>
      <c r="U53" s="256"/>
      <c r="V53" s="256"/>
      <c r="W53" s="256"/>
    </row>
    <row r="55" spans="16:23" ht="19" x14ac:dyDescent="0.25">
      <c r="P55" s="101" t="s">
        <v>1</v>
      </c>
    </row>
    <row r="56" spans="16:23" x14ac:dyDescent="0.2">
      <c r="P56" s="5" t="s">
        <v>95</v>
      </c>
    </row>
  </sheetData>
  <mergeCells count="12">
    <mergeCell ref="P51:W53"/>
    <mergeCell ref="C6:C7"/>
    <mergeCell ref="D6:G6"/>
    <mergeCell ref="I6:I7"/>
    <mergeCell ref="J6:M6"/>
    <mergeCell ref="C14:C15"/>
    <mergeCell ref="D14:F14"/>
    <mergeCell ref="J14:L14"/>
    <mergeCell ref="I14:I15"/>
    <mergeCell ref="P6:T6"/>
    <mergeCell ref="P11:T11"/>
    <mergeCell ref="P19:T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F3EF8-2D48-CF4D-87CD-8C777C0063C5}">
  <dimension ref="A1:X53"/>
  <sheetViews>
    <sheetView workbookViewId="0">
      <selection activeCell="B1" sqref="B1"/>
    </sheetView>
  </sheetViews>
  <sheetFormatPr baseColWidth="10" defaultColWidth="10.6640625" defaultRowHeight="16" outlineLevelCol="1" x14ac:dyDescent="0.2"/>
  <cols>
    <col min="1" max="1" width="4" style="1" customWidth="1"/>
    <col min="2" max="2" width="11.5" style="1" customWidth="1"/>
    <col min="3" max="3" width="10.6640625" style="1"/>
    <col min="4" max="4" width="11.6640625" style="1" customWidth="1"/>
    <col min="5" max="7" width="10.6640625" style="1"/>
    <col min="8" max="8" width="4.6640625" style="1" customWidth="1"/>
    <col min="9" max="15" width="10.6640625" style="1"/>
    <col min="16" max="23" width="10.83203125" style="1" hidden="1" customWidth="1" outlineLevel="1"/>
    <col min="24" max="24" width="10.6640625" style="1" collapsed="1"/>
    <col min="25" max="16384" width="10.6640625" style="1"/>
  </cols>
  <sheetData>
    <row r="1" spans="1:22" x14ac:dyDescent="0.2">
      <c r="A1" s="100"/>
      <c r="B1" s="70" t="s">
        <v>70</v>
      </c>
      <c r="C1" s="69" t="s">
        <v>94</v>
      </c>
      <c r="D1" s="69" t="s">
        <v>68</v>
      </c>
      <c r="E1" s="69" t="s">
        <v>67</v>
      </c>
      <c r="F1" s="68"/>
      <c r="G1" s="68"/>
      <c r="H1" s="68"/>
      <c r="I1" s="68"/>
      <c r="J1" s="68"/>
      <c r="K1" s="68"/>
      <c r="L1" s="68"/>
      <c r="M1" s="68"/>
      <c r="N1" s="67"/>
      <c r="O1" s="64" t="s">
        <v>66</v>
      </c>
      <c r="P1" s="64"/>
      <c r="Q1" s="64"/>
    </row>
    <row r="2" spans="1:22" x14ac:dyDescent="0.2">
      <c r="A2" s="92"/>
      <c r="B2" s="66" t="s">
        <v>65</v>
      </c>
      <c r="C2" s="65">
        <v>2</v>
      </c>
      <c r="D2" s="37"/>
      <c r="E2" s="37"/>
      <c r="F2" s="37"/>
      <c r="G2" s="37"/>
      <c r="H2" s="37"/>
      <c r="I2" s="37"/>
      <c r="J2" s="37"/>
      <c r="K2" s="37"/>
      <c r="L2" s="37"/>
      <c r="M2" s="37"/>
      <c r="N2" s="36"/>
      <c r="P2" s="268" t="s">
        <v>93</v>
      </c>
      <c r="Q2" s="268"/>
      <c r="R2" s="268"/>
      <c r="S2" s="268"/>
      <c r="T2" s="268"/>
      <c r="U2" s="268"/>
      <c r="V2" s="268"/>
    </row>
    <row r="3" spans="1:22" x14ac:dyDescent="0.2">
      <c r="A3" s="92"/>
      <c r="B3" s="37"/>
      <c r="C3" s="37"/>
      <c r="D3" s="37"/>
      <c r="E3" s="37"/>
      <c r="F3" s="37"/>
      <c r="G3" s="37"/>
      <c r="H3" s="37"/>
      <c r="I3" s="37"/>
      <c r="J3" s="37"/>
      <c r="K3" s="37"/>
      <c r="L3" s="37"/>
      <c r="M3" s="37"/>
      <c r="N3" s="36"/>
      <c r="P3" s="268"/>
      <c r="Q3" s="268"/>
      <c r="R3" s="268"/>
      <c r="S3" s="268"/>
      <c r="T3" s="268"/>
      <c r="U3" s="268"/>
      <c r="V3" s="268"/>
    </row>
    <row r="4" spans="1:22" x14ac:dyDescent="0.2">
      <c r="A4" s="92"/>
      <c r="B4" s="37"/>
      <c r="C4" s="37" t="s">
        <v>92</v>
      </c>
      <c r="D4" s="37"/>
      <c r="E4" s="37"/>
      <c r="F4" s="37"/>
      <c r="G4" s="37"/>
      <c r="H4" s="37"/>
      <c r="I4" s="37"/>
      <c r="J4" s="37"/>
      <c r="K4" s="37"/>
      <c r="L4" s="37"/>
      <c r="M4" s="37"/>
      <c r="N4" s="36"/>
      <c r="R4" s="98"/>
    </row>
    <row r="5" spans="1:22" x14ac:dyDescent="0.2">
      <c r="A5" s="92"/>
      <c r="B5" s="37"/>
      <c r="C5" s="37"/>
      <c r="D5" s="37"/>
      <c r="E5" s="37"/>
      <c r="F5" s="37"/>
      <c r="G5" s="37"/>
      <c r="H5" s="37"/>
      <c r="I5" s="37"/>
      <c r="J5" s="37"/>
      <c r="K5" s="37"/>
      <c r="L5" s="37"/>
      <c r="M5" s="37"/>
      <c r="N5" s="36"/>
      <c r="P5" s="64" t="s">
        <v>91</v>
      </c>
      <c r="R5" s="98"/>
    </row>
    <row r="6" spans="1:22" x14ac:dyDescent="0.2">
      <c r="A6" s="92"/>
      <c r="B6" s="37"/>
      <c r="C6" s="287" t="s">
        <v>87</v>
      </c>
      <c r="D6" s="277" t="s">
        <v>90</v>
      </c>
      <c r="E6" s="277"/>
      <c r="F6" s="277"/>
      <c r="G6" s="277"/>
      <c r="H6" s="37"/>
      <c r="I6" s="287" t="s">
        <v>87</v>
      </c>
      <c r="J6" s="277" t="s">
        <v>89</v>
      </c>
      <c r="K6" s="277"/>
      <c r="L6" s="277"/>
      <c r="M6" s="277"/>
      <c r="N6" s="36"/>
      <c r="R6" s="98"/>
    </row>
    <row r="7" spans="1:22" ht="17" x14ac:dyDescent="0.2">
      <c r="A7" s="92"/>
      <c r="B7" s="37"/>
      <c r="C7" s="287"/>
      <c r="D7" s="51">
        <v>12</v>
      </c>
      <c r="E7" s="51">
        <v>24</v>
      </c>
      <c r="F7" s="51">
        <v>36</v>
      </c>
      <c r="G7" s="51">
        <v>48</v>
      </c>
      <c r="H7" s="37"/>
      <c r="I7" s="287"/>
      <c r="J7" s="51">
        <v>12</v>
      </c>
      <c r="K7" s="51">
        <v>24</v>
      </c>
      <c r="L7" s="51">
        <v>36</v>
      </c>
      <c r="M7" s="51">
        <v>48</v>
      </c>
      <c r="N7" s="36"/>
      <c r="P7" s="82" t="s">
        <v>21</v>
      </c>
      <c r="Q7" s="275" t="s">
        <v>88</v>
      </c>
      <c r="R7" s="266"/>
      <c r="S7" s="266"/>
      <c r="T7" s="266"/>
      <c r="U7" s="5"/>
      <c r="V7" s="5"/>
    </row>
    <row r="8" spans="1:22" ht="17" x14ac:dyDescent="0.2">
      <c r="A8" s="92"/>
      <c r="B8" s="37"/>
      <c r="C8" s="51">
        <v>2014</v>
      </c>
      <c r="D8" s="51">
        <v>170</v>
      </c>
      <c r="E8" s="51">
        <v>184</v>
      </c>
      <c r="F8" s="51">
        <v>190</v>
      </c>
      <c r="G8" s="51">
        <v>196</v>
      </c>
      <c r="H8" s="37"/>
      <c r="I8" s="51">
        <v>2014</v>
      </c>
      <c r="J8" s="50">
        <v>7500</v>
      </c>
      <c r="K8" s="50">
        <v>12800</v>
      </c>
      <c r="L8" s="50">
        <v>18000</v>
      </c>
      <c r="M8" s="50">
        <v>25000</v>
      </c>
      <c r="N8" s="36"/>
      <c r="P8" s="80" t="s">
        <v>17</v>
      </c>
      <c r="Q8" s="78">
        <v>12</v>
      </c>
      <c r="R8" s="78">
        <v>24</v>
      </c>
      <c r="S8" s="78">
        <v>36</v>
      </c>
      <c r="T8" s="78">
        <v>48</v>
      </c>
      <c r="U8" s="5"/>
      <c r="V8" s="5"/>
    </row>
    <row r="9" spans="1:22" x14ac:dyDescent="0.2">
      <c r="A9" s="92"/>
      <c r="B9" s="37"/>
      <c r="C9" s="51">
        <v>2015</v>
      </c>
      <c r="D9" s="51">
        <v>175</v>
      </c>
      <c r="E9" s="51">
        <v>186</v>
      </c>
      <c r="F9" s="51">
        <v>194</v>
      </c>
      <c r="G9" s="51"/>
      <c r="H9" s="37"/>
      <c r="I9" s="51">
        <v>2015</v>
      </c>
      <c r="J9" s="50">
        <v>7250</v>
      </c>
      <c r="K9" s="50">
        <v>13000</v>
      </c>
      <c r="L9" s="50">
        <v>18500</v>
      </c>
      <c r="M9" s="50"/>
      <c r="N9" s="36"/>
      <c r="P9" s="76">
        <f>C8</f>
        <v>2014</v>
      </c>
      <c r="Q9" s="97">
        <f>D8/$D15</f>
        <v>0.86734693877551017</v>
      </c>
      <c r="R9" s="97">
        <f>E8/$D15</f>
        <v>0.93877551020408168</v>
      </c>
      <c r="S9" s="97">
        <f>F8/$D15</f>
        <v>0.96938775510204078</v>
      </c>
      <c r="T9" s="97">
        <f>G8/$D15</f>
        <v>1</v>
      </c>
      <c r="U9" s="5"/>
      <c r="V9" s="5"/>
    </row>
    <row r="10" spans="1:22" x14ac:dyDescent="0.2">
      <c r="A10" s="92"/>
      <c r="B10" s="37"/>
      <c r="C10" s="51">
        <v>2016</v>
      </c>
      <c r="D10" s="51">
        <v>178</v>
      </c>
      <c r="E10" s="51">
        <v>190</v>
      </c>
      <c r="F10" s="51"/>
      <c r="G10" s="51"/>
      <c r="H10" s="37"/>
      <c r="I10" s="51">
        <v>2016</v>
      </c>
      <c r="J10" s="50">
        <v>7700</v>
      </c>
      <c r="K10" s="50">
        <v>13450</v>
      </c>
      <c r="L10" s="50"/>
      <c r="M10" s="50"/>
      <c r="N10" s="36"/>
      <c r="P10" s="76">
        <f>C9</f>
        <v>2015</v>
      </c>
      <c r="Q10" s="97">
        <f>D9/$D16</f>
        <v>0.89743589743589747</v>
      </c>
      <c r="R10" s="97">
        <f>E9/$D16</f>
        <v>0.9538461538461539</v>
      </c>
      <c r="S10" s="97">
        <f>F9/$D16</f>
        <v>0.99487179487179489</v>
      </c>
      <c r="T10" s="97"/>
      <c r="U10" s="5"/>
      <c r="V10" s="5"/>
    </row>
    <row r="11" spans="1:22" x14ac:dyDescent="0.2">
      <c r="A11" s="92"/>
      <c r="B11" s="37"/>
      <c r="C11" s="51">
        <v>2017</v>
      </c>
      <c r="D11" s="51">
        <v>185</v>
      </c>
      <c r="E11" s="51"/>
      <c r="F11" s="51"/>
      <c r="G11" s="51"/>
      <c r="H11" s="37"/>
      <c r="I11" s="51">
        <v>2017</v>
      </c>
      <c r="J11" s="50">
        <v>7950</v>
      </c>
      <c r="K11" s="50"/>
      <c r="L11" s="50"/>
      <c r="M11" s="50"/>
      <c r="N11" s="36"/>
      <c r="P11" s="76">
        <f>C10</f>
        <v>2016</v>
      </c>
      <c r="Q11" s="97">
        <f>D10/$D17</f>
        <v>0.89898989898989901</v>
      </c>
      <c r="R11" s="97">
        <f>E10/$D17</f>
        <v>0.95959595959595956</v>
      </c>
      <c r="S11" s="97"/>
      <c r="T11" s="97"/>
      <c r="U11" s="5"/>
      <c r="V11" s="5"/>
    </row>
    <row r="12" spans="1:22" x14ac:dyDescent="0.2">
      <c r="A12" s="92"/>
      <c r="B12" s="37"/>
      <c r="C12" s="37"/>
      <c r="D12" s="37"/>
      <c r="E12" s="37"/>
      <c r="F12" s="37"/>
      <c r="G12" s="37"/>
      <c r="H12" s="37"/>
      <c r="I12" s="37"/>
      <c r="J12" s="37"/>
      <c r="K12" s="37"/>
      <c r="L12" s="37"/>
      <c r="M12" s="37"/>
      <c r="N12" s="36"/>
      <c r="P12" s="76">
        <f>C11</f>
        <v>2017</v>
      </c>
      <c r="Q12" s="97">
        <f>D11/$D18</f>
        <v>0.92500000000000004</v>
      </c>
      <c r="R12" s="97"/>
      <c r="S12" s="97"/>
      <c r="T12" s="97"/>
      <c r="U12" s="5"/>
      <c r="V12" s="5"/>
    </row>
    <row r="13" spans="1:22" x14ac:dyDescent="0.2">
      <c r="A13" s="93"/>
      <c r="B13" s="40"/>
      <c r="C13" s="287" t="s">
        <v>87</v>
      </c>
      <c r="D13" s="289" t="s">
        <v>86</v>
      </c>
      <c r="E13" s="37"/>
      <c r="F13" s="37"/>
      <c r="G13" s="37"/>
      <c r="H13" s="37"/>
      <c r="I13" s="37"/>
      <c r="J13" s="37"/>
      <c r="K13" s="37"/>
      <c r="L13" s="37"/>
      <c r="M13" s="37"/>
      <c r="N13" s="36"/>
      <c r="P13" s="5"/>
      <c r="Q13" s="5"/>
      <c r="R13" s="5"/>
      <c r="S13" s="5"/>
      <c r="T13" s="5"/>
      <c r="U13" s="5"/>
      <c r="V13" s="5"/>
    </row>
    <row r="14" spans="1:22" x14ac:dyDescent="0.2">
      <c r="A14" s="93"/>
      <c r="B14" s="40"/>
      <c r="C14" s="287"/>
      <c r="D14" s="290"/>
      <c r="E14" s="37"/>
      <c r="F14" s="37"/>
      <c r="G14" s="37"/>
      <c r="H14" s="37"/>
      <c r="I14" s="37"/>
      <c r="J14" s="37"/>
      <c r="K14" s="37"/>
      <c r="L14" s="37"/>
      <c r="M14" s="37"/>
      <c r="N14" s="36"/>
      <c r="P14" s="80"/>
      <c r="Q14" s="78">
        <v>12</v>
      </c>
      <c r="R14" s="78">
        <v>24</v>
      </c>
      <c r="S14" s="78">
        <v>36</v>
      </c>
      <c r="T14" s="78">
        <v>48</v>
      </c>
      <c r="U14" s="26"/>
      <c r="V14" s="5"/>
    </row>
    <row r="15" spans="1:22" ht="17" x14ac:dyDescent="0.2">
      <c r="A15" s="93"/>
      <c r="B15" s="40"/>
      <c r="C15" s="51">
        <v>2014</v>
      </c>
      <c r="D15" s="51">
        <v>196</v>
      </c>
      <c r="E15" s="37"/>
      <c r="F15" s="37"/>
      <c r="G15" s="37"/>
      <c r="H15" s="37"/>
      <c r="I15" s="37"/>
      <c r="J15" s="37"/>
      <c r="K15" s="37"/>
      <c r="L15" s="37"/>
      <c r="M15" s="37"/>
      <c r="N15" s="36"/>
      <c r="P15" s="82" t="s">
        <v>77</v>
      </c>
      <c r="Q15" s="97">
        <f>AVERAGE(Q9:Q12)</f>
        <v>0.89719318380032664</v>
      </c>
      <c r="R15" s="97">
        <f>AVERAGE(R9:R12)</f>
        <v>0.95073920788206501</v>
      </c>
      <c r="S15" s="97">
        <f>AVERAGE(S9:S12)</f>
        <v>0.98212977498691778</v>
      </c>
      <c r="T15" s="97">
        <f>AVERAGE(T9:T12)</f>
        <v>1</v>
      </c>
      <c r="U15" s="26"/>
      <c r="V15" s="5"/>
    </row>
    <row r="16" spans="1:22" x14ac:dyDescent="0.2">
      <c r="A16" s="93"/>
      <c r="B16" s="40"/>
      <c r="C16" s="51">
        <v>2015</v>
      </c>
      <c r="D16" s="51">
        <v>195</v>
      </c>
      <c r="E16" s="37"/>
      <c r="F16" s="37"/>
      <c r="G16" s="37"/>
      <c r="H16" s="37"/>
      <c r="I16" s="37"/>
      <c r="J16" s="37"/>
      <c r="K16" s="37"/>
      <c r="L16" s="37"/>
      <c r="M16" s="37"/>
      <c r="N16" s="36"/>
      <c r="P16" s="5"/>
      <c r="Q16" s="5"/>
      <c r="R16" s="5"/>
      <c r="S16" s="5"/>
      <c r="T16" s="5"/>
      <c r="U16" s="5"/>
      <c r="V16" s="5"/>
    </row>
    <row r="17" spans="1:22" x14ac:dyDescent="0.2">
      <c r="A17" s="93"/>
      <c r="B17" s="40"/>
      <c r="C17" s="51">
        <v>2016</v>
      </c>
      <c r="D17" s="51">
        <v>198</v>
      </c>
      <c r="E17" s="37"/>
      <c r="F17" s="37"/>
      <c r="G17" s="37"/>
      <c r="H17" s="37"/>
      <c r="I17" s="37"/>
      <c r="J17" s="37"/>
      <c r="K17" s="37"/>
      <c r="L17" s="37"/>
      <c r="M17" s="37"/>
      <c r="N17" s="36"/>
      <c r="P17" s="5" t="s">
        <v>85</v>
      </c>
      <c r="Q17" s="5"/>
      <c r="R17" s="5"/>
      <c r="S17" s="5"/>
      <c r="T17" s="5"/>
      <c r="U17" s="5"/>
      <c r="V17" s="5"/>
    </row>
    <row r="18" spans="1:22" x14ac:dyDescent="0.2">
      <c r="A18" s="93"/>
      <c r="B18" s="40"/>
      <c r="C18" s="51">
        <v>2017</v>
      </c>
      <c r="D18" s="51">
        <v>200</v>
      </c>
      <c r="E18" s="37"/>
      <c r="F18" s="37"/>
      <c r="G18" s="37"/>
      <c r="H18" s="37"/>
      <c r="I18" s="37"/>
      <c r="J18" s="37"/>
      <c r="K18" s="37"/>
      <c r="L18" s="37"/>
      <c r="M18" s="37"/>
      <c r="N18" s="36"/>
      <c r="P18" s="5"/>
      <c r="Q18" s="5"/>
      <c r="R18" s="5"/>
      <c r="S18" s="5"/>
      <c r="T18" s="5"/>
      <c r="U18" s="5"/>
      <c r="V18" s="5"/>
    </row>
    <row r="19" spans="1:22" ht="17" x14ac:dyDescent="0.2">
      <c r="A19" s="93"/>
      <c r="B19" s="40"/>
      <c r="C19" s="37"/>
      <c r="D19" s="37"/>
      <c r="E19" s="37"/>
      <c r="F19" s="37"/>
      <c r="G19" s="37"/>
      <c r="H19" s="37"/>
      <c r="I19" s="37"/>
      <c r="J19" s="37"/>
      <c r="K19" s="37"/>
      <c r="L19" s="37"/>
      <c r="M19" s="37"/>
      <c r="N19" s="36"/>
      <c r="P19" s="82" t="s">
        <v>21</v>
      </c>
      <c r="Q19" s="272" t="s">
        <v>84</v>
      </c>
      <c r="R19" s="273"/>
      <c r="S19" s="273"/>
      <c r="T19" s="273"/>
      <c r="U19" s="96"/>
      <c r="V19" s="5"/>
    </row>
    <row r="20" spans="1:22" ht="17" x14ac:dyDescent="0.2">
      <c r="A20" s="93"/>
      <c r="B20" s="40"/>
      <c r="C20" s="95">
        <v>0.03</v>
      </c>
      <c r="D20" s="291" t="s">
        <v>83</v>
      </c>
      <c r="E20" s="292"/>
      <c r="F20" s="37"/>
      <c r="G20" s="37"/>
      <c r="H20" s="37"/>
      <c r="I20" s="37"/>
      <c r="J20" s="37"/>
      <c r="K20" s="37"/>
      <c r="L20" s="37"/>
      <c r="M20" s="37"/>
      <c r="N20" s="36"/>
      <c r="P20" s="80" t="s">
        <v>17</v>
      </c>
      <c r="Q20" s="78">
        <v>12</v>
      </c>
      <c r="R20" s="78">
        <v>24</v>
      </c>
      <c r="S20" s="78">
        <v>36</v>
      </c>
      <c r="T20" s="78">
        <v>48</v>
      </c>
      <c r="U20" s="5"/>
      <c r="V20" s="5"/>
    </row>
    <row r="21" spans="1:22" x14ac:dyDescent="0.2">
      <c r="A21" s="93"/>
      <c r="B21" s="40"/>
      <c r="C21" s="37"/>
      <c r="D21" s="37"/>
      <c r="E21" s="37"/>
      <c r="F21" s="37"/>
      <c r="G21" s="37"/>
      <c r="H21" s="37"/>
      <c r="I21" s="37"/>
      <c r="J21" s="37"/>
      <c r="K21" s="37"/>
      <c r="L21" s="37"/>
      <c r="M21" s="37"/>
      <c r="N21" s="36"/>
      <c r="P21" s="76">
        <f>P12</f>
        <v>2017</v>
      </c>
      <c r="Q21" s="84">
        <f>D11</f>
        <v>185</v>
      </c>
      <c r="R21" s="94">
        <f>($D18-$D$11)/(1-$Q$15)*(R$15-Q$15)</f>
        <v>7.8126177904984804</v>
      </c>
      <c r="S21" s="94">
        <f>($D18-$D$11)/(1-$Q$15)*(S$15-R$15)</f>
        <v>4.5800319859947924</v>
      </c>
      <c r="T21" s="94">
        <f>($D18-$D$11)/(1-$Q$15)*(T$15-S$15)</f>
        <v>2.6073502235067263</v>
      </c>
      <c r="U21" s="5"/>
      <c r="V21" s="5"/>
    </row>
    <row r="22" spans="1:22" x14ac:dyDescent="0.2">
      <c r="A22" s="93"/>
      <c r="B22" s="40"/>
      <c r="C22" s="37" t="s">
        <v>82</v>
      </c>
      <c r="D22" s="37"/>
      <c r="E22" s="37"/>
      <c r="F22" s="37"/>
      <c r="G22" s="37"/>
      <c r="H22" s="37"/>
      <c r="I22" s="37"/>
      <c r="J22" s="37"/>
      <c r="K22" s="37"/>
      <c r="L22" s="37"/>
      <c r="M22" s="37"/>
      <c r="N22" s="36"/>
      <c r="P22" s="5"/>
      <c r="Q22" s="5"/>
      <c r="R22" s="5"/>
      <c r="S22" s="5"/>
      <c r="T22" s="5"/>
      <c r="U22" s="5"/>
      <c r="V22" s="5"/>
    </row>
    <row r="23" spans="1:22" x14ac:dyDescent="0.2">
      <c r="A23" s="92"/>
      <c r="B23" s="37"/>
      <c r="C23" s="37" t="s">
        <v>81</v>
      </c>
      <c r="D23" s="37"/>
      <c r="E23" s="37"/>
      <c r="F23" s="37"/>
      <c r="G23" s="37"/>
      <c r="H23" s="37"/>
      <c r="I23" s="37"/>
      <c r="J23" s="37"/>
      <c r="K23" s="37"/>
      <c r="L23" s="37"/>
      <c r="M23" s="37"/>
      <c r="N23" s="36"/>
      <c r="P23" s="64" t="s">
        <v>80</v>
      </c>
      <c r="Q23" s="5"/>
      <c r="R23" s="5"/>
      <c r="S23" s="5"/>
      <c r="T23" s="5"/>
      <c r="U23" s="5"/>
      <c r="V23" s="5"/>
    </row>
    <row r="24" spans="1:22" x14ac:dyDescent="0.2">
      <c r="A24" s="92"/>
      <c r="B24" s="37"/>
      <c r="C24" s="91"/>
      <c r="D24" s="37"/>
      <c r="E24" s="37"/>
      <c r="F24" s="37"/>
      <c r="G24" s="37"/>
      <c r="H24" s="37"/>
      <c r="I24" s="37"/>
      <c r="J24" s="37"/>
      <c r="K24" s="37"/>
      <c r="L24" s="37"/>
      <c r="M24" s="37"/>
      <c r="N24" s="36"/>
      <c r="P24" s="64"/>
      <c r="Q24" s="5"/>
      <c r="R24" s="5"/>
      <c r="S24" s="5"/>
      <c r="T24" s="5"/>
      <c r="U24" s="5"/>
      <c r="V24" s="5"/>
    </row>
    <row r="25" spans="1:22" ht="17" x14ac:dyDescent="0.2">
      <c r="A25" s="92"/>
      <c r="B25" s="37"/>
      <c r="C25" s="91" t="s">
        <v>79</v>
      </c>
      <c r="D25" s="37"/>
      <c r="E25" s="37"/>
      <c r="F25" s="37"/>
      <c r="G25" s="37"/>
      <c r="H25" s="37"/>
      <c r="I25" s="37"/>
      <c r="J25" s="37"/>
      <c r="K25" s="37"/>
      <c r="L25" s="37"/>
      <c r="M25" s="37"/>
      <c r="N25" s="36"/>
      <c r="P25" s="82" t="s">
        <v>21</v>
      </c>
      <c r="Q25" s="272" t="s">
        <v>78</v>
      </c>
      <c r="R25" s="273"/>
      <c r="S25" s="273"/>
      <c r="T25" s="273"/>
      <c r="U25" s="5"/>
      <c r="V25" s="5"/>
    </row>
    <row r="26" spans="1:22" ht="18" thickBot="1" x14ac:dyDescent="0.25">
      <c r="A26" s="90"/>
      <c r="B26" s="88"/>
      <c r="C26" s="89"/>
      <c r="D26" s="88"/>
      <c r="E26" s="88"/>
      <c r="F26" s="88"/>
      <c r="G26" s="88"/>
      <c r="H26" s="88"/>
      <c r="I26" s="88"/>
      <c r="J26" s="88"/>
      <c r="K26" s="88"/>
      <c r="L26" s="88"/>
      <c r="M26" s="88"/>
      <c r="N26" s="87"/>
      <c r="P26" s="80" t="s">
        <v>17</v>
      </c>
      <c r="Q26" s="78">
        <v>12</v>
      </c>
      <c r="R26" s="78">
        <v>24</v>
      </c>
      <c r="S26" s="78">
        <v>36</v>
      </c>
      <c r="T26" s="78">
        <v>48</v>
      </c>
      <c r="U26" s="5"/>
      <c r="V26" s="5"/>
    </row>
    <row r="27" spans="1:22" ht="17" thickBot="1" x14ac:dyDescent="0.25">
      <c r="A27" s="86" t="s">
        <v>32</v>
      </c>
      <c r="B27" s="33"/>
      <c r="C27" s="34"/>
      <c r="D27" s="33"/>
      <c r="E27" s="33"/>
      <c r="F27" s="33"/>
      <c r="G27" s="33"/>
      <c r="H27" s="33"/>
      <c r="I27" s="33"/>
      <c r="J27" s="33"/>
      <c r="K27" s="33"/>
      <c r="L27" s="33"/>
      <c r="M27" s="33"/>
      <c r="N27" s="32"/>
      <c r="P27" s="76">
        <f>P9</f>
        <v>2014</v>
      </c>
      <c r="Q27" s="85">
        <f>J8*(1+$C$20)^(2017-$P27)</f>
        <v>8195.4524999999994</v>
      </c>
      <c r="R27" s="85">
        <f>K8*(1+$C$20)^(2017-$P27)</f>
        <v>13986.9056</v>
      </c>
      <c r="S27" s="85">
        <f>L8*(1+$C$20)^(2017-$P27)</f>
        <v>19669.085999999999</v>
      </c>
      <c r="T27" s="85">
        <f>M8*(1+$C$20)^(2017-$P27)</f>
        <v>27318.174999999999</v>
      </c>
      <c r="U27" s="5"/>
      <c r="V27" s="5"/>
    </row>
    <row r="28" spans="1:22" x14ac:dyDescent="0.2">
      <c r="P28" s="76">
        <f>P10</f>
        <v>2015</v>
      </c>
      <c r="Q28" s="85">
        <f>J9*(1+$C$20)^(2017-$P28)</f>
        <v>7691.5249999999996</v>
      </c>
      <c r="R28" s="85">
        <f>K9*(1+$C$20)^(2017-$P28)</f>
        <v>13791.699999999999</v>
      </c>
      <c r="S28" s="85">
        <f>L9*(1+$C$20)^(2017-$P28)</f>
        <v>19626.649999999998</v>
      </c>
      <c r="T28" s="85"/>
      <c r="U28" s="5"/>
      <c r="V28" s="5"/>
    </row>
    <row r="29" spans="1:22" x14ac:dyDescent="0.2">
      <c r="P29" s="76">
        <f>P11</f>
        <v>2016</v>
      </c>
      <c r="Q29" s="85">
        <f>J10*(1+$C$20)^(2017-$P29)</f>
        <v>7931</v>
      </c>
      <c r="R29" s="85">
        <f>K10*(1+$C$20)^(2017-$P29)</f>
        <v>13853.5</v>
      </c>
      <c r="S29" s="85"/>
      <c r="T29" s="85"/>
      <c r="U29" s="5"/>
      <c r="V29" s="5"/>
    </row>
    <row r="30" spans="1:22" x14ac:dyDescent="0.2">
      <c r="P30" s="76">
        <f>P12</f>
        <v>2017</v>
      </c>
      <c r="Q30" s="85">
        <f>J11*(1+$C$20)^(2017-$P30)</f>
        <v>7950</v>
      </c>
      <c r="R30" s="85"/>
      <c r="S30" s="85"/>
      <c r="T30" s="85"/>
      <c r="U30" s="5"/>
      <c r="V30" s="5"/>
    </row>
    <row r="31" spans="1:22" x14ac:dyDescent="0.2">
      <c r="P31" s="5"/>
      <c r="Q31" s="5"/>
      <c r="R31" s="5"/>
      <c r="S31" s="5"/>
      <c r="T31" s="5"/>
      <c r="U31" s="5"/>
      <c r="V31" s="5"/>
    </row>
    <row r="32" spans="1:22" x14ac:dyDescent="0.2">
      <c r="P32" s="80"/>
      <c r="Q32" s="78">
        <v>12</v>
      </c>
      <c r="R32" s="78">
        <v>24</v>
      </c>
      <c r="S32" s="78">
        <v>36</v>
      </c>
      <c r="T32" s="78">
        <v>48</v>
      </c>
      <c r="U32" s="5"/>
      <c r="V32" s="5"/>
    </row>
    <row r="33" spans="16:22" ht="17" x14ac:dyDescent="0.2">
      <c r="P33" s="82" t="s">
        <v>77</v>
      </c>
      <c r="Q33" s="84">
        <f>AVERAGE(Q27:Q30)</f>
        <v>7941.9943750000002</v>
      </c>
      <c r="R33" s="84">
        <f>AVERAGE(R27:R30)</f>
        <v>13877.368533333332</v>
      </c>
      <c r="S33" s="84">
        <f>AVERAGE(S27:S30)</f>
        <v>19647.867999999999</v>
      </c>
      <c r="T33" s="84">
        <f>AVERAGE(T27:T30)</f>
        <v>27318.174999999999</v>
      </c>
      <c r="U33" s="5"/>
      <c r="V33" s="5"/>
    </row>
    <row r="34" spans="16:22" x14ac:dyDescent="0.2">
      <c r="P34" s="5"/>
      <c r="Q34" s="5"/>
      <c r="R34" s="5"/>
      <c r="S34" s="5"/>
      <c r="T34" s="5"/>
      <c r="U34" s="5"/>
      <c r="V34" s="5"/>
    </row>
    <row r="35" spans="16:22" x14ac:dyDescent="0.2">
      <c r="P35" s="5" t="s">
        <v>76</v>
      </c>
      <c r="Q35" s="5"/>
      <c r="R35" s="5"/>
      <c r="S35" s="5"/>
      <c r="T35" s="5"/>
      <c r="U35" s="5"/>
      <c r="V35" s="5"/>
    </row>
    <row r="36" spans="16:22" x14ac:dyDescent="0.2">
      <c r="P36" s="5"/>
      <c r="Q36" s="5"/>
      <c r="R36" s="5"/>
      <c r="S36" s="5"/>
      <c r="T36" s="5"/>
      <c r="U36" s="5"/>
      <c r="V36" s="5"/>
    </row>
    <row r="37" spans="16:22" ht="17" x14ac:dyDescent="0.2">
      <c r="P37" s="82" t="s">
        <v>21</v>
      </c>
      <c r="Q37" s="269" t="s">
        <v>75</v>
      </c>
      <c r="R37" s="270"/>
      <c r="S37" s="270"/>
      <c r="T37" s="270"/>
      <c r="U37" s="5"/>
      <c r="V37" s="5"/>
    </row>
    <row r="38" spans="16:22" ht="17" x14ac:dyDescent="0.2">
      <c r="P38" s="80" t="s">
        <v>17</v>
      </c>
      <c r="Q38" s="78">
        <v>12</v>
      </c>
      <c r="R38" s="78">
        <v>24</v>
      </c>
      <c r="S38" s="78">
        <v>36</v>
      </c>
      <c r="T38" s="78">
        <v>48</v>
      </c>
      <c r="U38" s="5"/>
      <c r="V38" s="5"/>
    </row>
    <row r="39" spans="16:22" x14ac:dyDescent="0.2">
      <c r="P39" s="76">
        <f>P12</f>
        <v>2017</v>
      </c>
      <c r="Q39" s="84">
        <f>J11</f>
        <v>7950</v>
      </c>
      <c r="R39" s="83">
        <f>R33</f>
        <v>13877.368533333332</v>
      </c>
      <c r="S39" s="83">
        <f>S33</f>
        <v>19647.867999999999</v>
      </c>
      <c r="T39" s="83">
        <f>T33</f>
        <v>27318.174999999999</v>
      </c>
      <c r="U39" s="5"/>
      <c r="V39" s="5"/>
    </row>
    <row r="40" spans="16:22" x14ac:dyDescent="0.2">
      <c r="P40" s="5"/>
      <c r="Q40" s="5"/>
      <c r="R40" s="5"/>
      <c r="S40" s="5"/>
      <c r="T40" s="5"/>
      <c r="U40" s="5"/>
      <c r="V40" s="5"/>
    </row>
    <row r="41" spans="16:22" ht="17" thickBot="1" x14ac:dyDescent="0.25">
      <c r="P41" s="5"/>
      <c r="Q41" s="5"/>
      <c r="R41" s="5"/>
      <c r="S41" s="5"/>
      <c r="T41" s="5"/>
      <c r="U41" s="5"/>
      <c r="V41" s="5"/>
    </row>
    <row r="42" spans="16:22" ht="17" x14ac:dyDescent="0.2">
      <c r="P42" s="82" t="s">
        <v>21</v>
      </c>
      <c r="Q42" s="269" t="s">
        <v>74</v>
      </c>
      <c r="R42" s="270"/>
      <c r="S42" s="270"/>
      <c r="T42" s="271"/>
      <c r="U42" s="81" t="s">
        <v>73</v>
      </c>
      <c r="V42" s="5"/>
    </row>
    <row r="43" spans="16:22" ht="17" x14ac:dyDescent="0.2">
      <c r="P43" s="80" t="s">
        <v>17</v>
      </c>
      <c r="Q43" s="79">
        <v>12</v>
      </c>
      <c r="R43" s="78">
        <v>24</v>
      </c>
      <c r="S43" s="78">
        <v>36</v>
      </c>
      <c r="T43" s="78">
        <v>48</v>
      </c>
      <c r="U43" s="77" t="s">
        <v>72</v>
      </c>
      <c r="V43" s="5"/>
    </row>
    <row r="44" spans="16:22" ht="17" thickBot="1" x14ac:dyDescent="0.25">
      <c r="P44" s="76">
        <f>P12</f>
        <v>2017</v>
      </c>
      <c r="Q44" s="75">
        <f>Q21*Q39</f>
        <v>1470750</v>
      </c>
      <c r="R44" s="74">
        <f>R21*R39</f>
        <v>108418.5762888238</v>
      </c>
      <c r="S44" s="74">
        <f>S21*S39</f>
        <v>89987.863896603521</v>
      </c>
      <c r="T44" s="74">
        <f>T21*T39</f>
        <v>71228.049692045854</v>
      </c>
      <c r="U44" s="73">
        <f>SUM(R44:T44)</f>
        <v>269634.48987747316</v>
      </c>
      <c r="V44" s="5"/>
    </row>
    <row r="45" spans="16:22" x14ac:dyDescent="0.2">
      <c r="V45" s="5"/>
    </row>
    <row r="46" spans="16:22" x14ac:dyDescent="0.2">
      <c r="V46" s="5"/>
    </row>
    <row r="47" spans="16:22" ht="19" x14ac:dyDescent="0.25">
      <c r="P47" s="72" t="s">
        <v>1</v>
      </c>
      <c r="V47" s="5"/>
    </row>
    <row r="48" spans="16:22" x14ac:dyDescent="0.2">
      <c r="P48" s="1" t="s">
        <v>71</v>
      </c>
      <c r="V48" s="5"/>
    </row>
    <row r="49" spans="22:22" x14ac:dyDescent="0.2">
      <c r="V49" s="5"/>
    </row>
    <row r="50" spans="22:22" x14ac:dyDescent="0.2">
      <c r="V50" s="5"/>
    </row>
    <row r="51" spans="22:22" x14ac:dyDescent="0.2">
      <c r="V51" s="5"/>
    </row>
    <row r="52" spans="22:22" x14ac:dyDescent="0.2">
      <c r="V52" s="5"/>
    </row>
    <row r="53" spans="22:22" x14ac:dyDescent="0.2">
      <c r="V53" s="5"/>
    </row>
  </sheetData>
  <mergeCells count="13">
    <mergeCell ref="J6:M6"/>
    <mergeCell ref="D13:D14"/>
    <mergeCell ref="D20:E20"/>
    <mergeCell ref="C6:C7"/>
    <mergeCell ref="C13:C14"/>
    <mergeCell ref="I6:I7"/>
    <mergeCell ref="D6:G6"/>
    <mergeCell ref="P2:V3"/>
    <mergeCell ref="Q37:T37"/>
    <mergeCell ref="Q42:T42"/>
    <mergeCell ref="Q25:T25"/>
    <mergeCell ref="Q19:T19"/>
    <mergeCell ref="Q7:T7"/>
  </mergeCells>
  <pageMargins left="0.7" right="0.7" top="0.75" bottom="0.75" header="0.3" footer="0.3"/>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FFAA-7622-7549-AE7B-1A7AFDFA6691}">
  <dimension ref="A1:T61"/>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2" width="11" style="1"/>
    <col min="13" max="13" width="10.83203125" style="1" hidden="1" customWidth="1" outlineLevel="1"/>
    <col min="14" max="14" width="13.33203125" style="1" hidden="1" customWidth="1" outlineLevel="1"/>
    <col min="15" max="15" width="10.83203125" style="1" hidden="1" customWidth="1" outlineLevel="1"/>
    <col min="16" max="16" width="11.33203125" style="1" hidden="1" customWidth="1" outlineLevel="1"/>
    <col min="17" max="17" width="12" style="1" hidden="1" customWidth="1" outlineLevel="1"/>
    <col min="18" max="19" width="10.83203125" style="1" hidden="1" customWidth="1" outlineLevel="1"/>
    <col min="20" max="20" width="11" style="1" collapsed="1"/>
    <col min="21" max="16384" width="11" style="1"/>
  </cols>
  <sheetData>
    <row r="1" spans="1:20" x14ac:dyDescent="0.2">
      <c r="A1" s="71"/>
      <c r="B1" s="70" t="s">
        <v>70</v>
      </c>
      <c r="C1" s="69" t="s">
        <v>69</v>
      </c>
      <c r="D1" s="69" t="s">
        <v>68</v>
      </c>
      <c r="E1" s="69" t="s">
        <v>67</v>
      </c>
      <c r="F1" s="68"/>
      <c r="G1" s="68"/>
      <c r="H1" s="68"/>
      <c r="I1" s="68"/>
      <c r="J1" s="68"/>
      <c r="K1" s="67"/>
      <c r="L1" s="64" t="s">
        <v>66</v>
      </c>
    </row>
    <row r="2" spans="1:20" x14ac:dyDescent="0.2">
      <c r="A2" s="38"/>
      <c r="B2" s="66" t="s">
        <v>65</v>
      </c>
      <c r="C2" s="65">
        <v>3.5</v>
      </c>
      <c r="D2" s="37"/>
      <c r="E2" s="37"/>
      <c r="F2" s="37"/>
      <c r="G2" s="37"/>
      <c r="H2" s="37"/>
      <c r="I2" s="37"/>
      <c r="J2" s="37"/>
      <c r="K2" s="36"/>
    </row>
    <row r="3" spans="1:20" x14ac:dyDescent="0.2">
      <c r="A3" s="38"/>
      <c r="B3" s="37"/>
      <c r="C3" s="37"/>
      <c r="D3" s="37"/>
      <c r="E3" s="37"/>
      <c r="F3" s="37"/>
      <c r="G3" s="37"/>
      <c r="H3" s="37"/>
      <c r="I3" s="37"/>
      <c r="J3" s="37"/>
      <c r="K3" s="36"/>
      <c r="M3" s="64" t="s">
        <v>64</v>
      </c>
    </row>
    <row r="4" spans="1:20" x14ac:dyDescent="0.2">
      <c r="A4" s="38"/>
      <c r="B4" s="37"/>
      <c r="C4" s="37" t="s">
        <v>63</v>
      </c>
      <c r="D4" s="37"/>
      <c r="E4" s="37"/>
      <c r="F4" s="37"/>
      <c r="G4" s="37"/>
      <c r="H4" s="37"/>
      <c r="I4" s="37"/>
      <c r="J4" s="37"/>
      <c r="K4" s="36"/>
      <c r="M4" s="5" t="s">
        <v>62</v>
      </c>
      <c r="N4" s="5"/>
      <c r="O4" s="5"/>
      <c r="P4" s="5"/>
      <c r="Q4" s="5"/>
      <c r="R4" s="5"/>
      <c r="S4" s="5"/>
      <c r="T4" s="5"/>
    </row>
    <row r="5" spans="1:20" x14ac:dyDescent="0.2">
      <c r="A5" s="38"/>
      <c r="B5" s="37"/>
      <c r="C5" s="37"/>
      <c r="D5" s="37"/>
      <c r="E5" s="37"/>
      <c r="F5" s="37"/>
      <c r="G5" s="37"/>
      <c r="H5" s="37"/>
      <c r="I5" s="37"/>
      <c r="J5" s="37"/>
      <c r="K5" s="36"/>
      <c r="M5" s="5"/>
      <c r="N5" s="5"/>
      <c r="O5" s="5"/>
      <c r="P5" s="5"/>
      <c r="Q5" s="5"/>
      <c r="R5" s="5"/>
      <c r="S5" s="5"/>
      <c r="T5" s="5"/>
    </row>
    <row r="6" spans="1:20" x14ac:dyDescent="0.2">
      <c r="A6" s="38"/>
      <c r="B6" s="37"/>
      <c r="C6" s="63"/>
      <c r="D6" s="62" t="s">
        <v>20</v>
      </c>
      <c r="E6" s="61"/>
      <c r="F6" s="37"/>
      <c r="G6" s="37"/>
      <c r="H6" s="37"/>
      <c r="I6" s="37"/>
      <c r="J6" s="37"/>
      <c r="K6" s="36"/>
      <c r="M6" s="24" t="s">
        <v>21</v>
      </c>
      <c r="N6" s="31" t="s">
        <v>18</v>
      </c>
      <c r="O6" s="23" t="s">
        <v>31</v>
      </c>
      <c r="P6" s="24" t="s">
        <v>30</v>
      </c>
      <c r="Q6" s="23" t="s">
        <v>61</v>
      </c>
      <c r="R6" s="5"/>
      <c r="S6" s="5"/>
      <c r="T6" s="5"/>
    </row>
    <row r="7" spans="1:20" ht="17" x14ac:dyDescent="0.2">
      <c r="A7" s="38"/>
      <c r="B7" s="37"/>
      <c r="C7" s="59" t="s">
        <v>60</v>
      </c>
      <c r="D7" s="58" t="s">
        <v>49</v>
      </c>
      <c r="E7" s="57" t="s">
        <v>51</v>
      </c>
      <c r="F7" s="37"/>
      <c r="G7" s="37"/>
      <c r="H7" s="37"/>
      <c r="I7" s="37"/>
      <c r="J7" s="37"/>
      <c r="K7" s="36"/>
      <c r="M7" s="16" t="s">
        <v>17</v>
      </c>
      <c r="N7" s="21" t="s">
        <v>59</v>
      </c>
      <c r="O7" s="21" t="s">
        <v>27</v>
      </c>
      <c r="P7" s="16" t="s">
        <v>26</v>
      </c>
      <c r="Q7" s="21" t="s">
        <v>58</v>
      </c>
      <c r="R7" s="5"/>
      <c r="S7" s="5"/>
      <c r="T7" s="5"/>
    </row>
    <row r="8" spans="1:20" ht="15.75" customHeight="1" x14ac:dyDescent="0.2">
      <c r="A8" s="38"/>
      <c r="B8" s="37"/>
      <c r="C8" s="55" t="s">
        <v>17</v>
      </c>
      <c r="D8" s="42" t="s">
        <v>57</v>
      </c>
      <c r="E8" s="54" t="s">
        <v>50</v>
      </c>
      <c r="F8" s="37"/>
      <c r="G8" s="63"/>
      <c r="H8" s="62" t="s">
        <v>56</v>
      </c>
      <c r="I8" s="61"/>
      <c r="J8" s="40"/>
      <c r="K8" s="36"/>
      <c r="M8" s="11">
        <f>G11</f>
        <v>2014</v>
      </c>
      <c r="N8" s="9">
        <f>H11</f>
        <v>2200</v>
      </c>
      <c r="O8" s="29">
        <f>2017-M8</f>
        <v>3</v>
      </c>
      <c r="P8" s="56">
        <f>(1+$C$14)^O8</f>
        <v>0.96150480299999996</v>
      </c>
      <c r="Q8" s="9">
        <f>N8*P8</f>
        <v>2115.3105666000001</v>
      </c>
      <c r="R8" s="5"/>
      <c r="S8" s="5"/>
      <c r="T8" s="5"/>
    </row>
    <row r="9" spans="1:20" x14ac:dyDescent="0.2">
      <c r="A9" s="38"/>
      <c r="B9" s="37"/>
      <c r="C9" s="42">
        <v>2014</v>
      </c>
      <c r="D9" s="53">
        <v>127500</v>
      </c>
      <c r="E9" s="60">
        <v>0.71</v>
      </c>
      <c r="F9" s="37"/>
      <c r="G9" s="59" t="s">
        <v>55</v>
      </c>
      <c r="H9" s="58" t="s">
        <v>54</v>
      </c>
      <c r="I9" s="57" t="s">
        <v>18</v>
      </c>
      <c r="J9" s="40"/>
      <c r="K9" s="36"/>
      <c r="M9" s="11">
        <f>G12</f>
        <v>2015</v>
      </c>
      <c r="N9" s="9">
        <f>H12</f>
        <v>1970</v>
      </c>
      <c r="O9" s="29">
        <f>2017-M9</f>
        <v>2</v>
      </c>
      <c r="P9" s="56">
        <f>(1+$C$14)^O9</f>
        <v>0.97416899999999995</v>
      </c>
      <c r="Q9" s="9">
        <f>N9*P9</f>
        <v>1919.11293</v>
      </c>
      <c r="R9" s="5"/>
      <c r="S9" s="5"/>
      <c r="T9" s="5"/>
    </row>
    <row r="10" spans="1:20" x14ac:dyDescent="0.2">
      <c r="A10" s="38"/>
      <c r="B10" s="37"/>
      <c r="C10" s="51">
        <v>2015</v>
      </c>
      <c r="D10" s="50">
        <v>117600</v>
      </c>
      <c r="E10" s="52">
        <v>0.66</v>
      </c>
      <c r="F10" s="37"/>
      <c r="G10" s="55" t="s">
        <v>17</v>
      </c>
      <c r="H10" s="42" t="s">
        <v>53</v>
      </c>
      <c r="I10" s="54" t="s">
        <v>52</v>
      </c>
      <c r="J10" s="40"/>
      <c r="K10" s="36"/>
      <c r="M10" s="5"/>
      <c r="N10" s="5"/>
      <c r="O10" s="5"/>
      <c r="P10" s="5"/>
      <c r="Q10" s="5"/>
      <c r="R10" s="5"/>
      <c r="S10" s="5"/>
      <c r="T10" s="5"/>
    </row>
    <row r="11" spans="1:20" x14ac:dyDescent="0.2">
      <c r="A11" s="38"/>
      <c r="B11" s="37"/>
      <c r="C11" s="51">
        <v>2016</v>
      </c>
      <c r="D11" s="50">
        <v>64300</v>
      </c>
      <c r="E11" s="52">
        <v>0.85</v>
      </c>
      <c r="F11" s="37"/>
      <c r="G11" s="42">
        <v>2014</v>
      </c>
      <c r="H11" s="53">
        <v>2200</v>
      </c>
      <c r="I11" s="53">
        <v>32600</v>
      </c>
      <c r="J11" s="49"/>
      <c r="K11" s="36"/>
      <c r="M11" s="5"/>
      <c r="N11" s="5"/>
      <c r="O11" s="5"/>
      <c r="P11" s="5"/>
      <c r="Q11" s="5"/>
      <c r="R11" s="5"/>
      <c r="S11" s="5"/>
      <c r="T11" s="5"/>
    </row>
    <row r="12" spans="1:20" x14ac:dyDescent="0.2">
      <c r="A12" s="38"/>
      <c r="B12" s="37"/>
      <c r="C12" s="51">
        <v>2017</v>
      </c>
      <c r="D12" s="50">
        <v>58900</v>
      </c>
      <c r="E12" s="52">
        <v>1</v>
      </c>
      <c r="F12" s="37"/>
      <c r="G12" s="51">
        <v>2015</v>
      </c>
      <c r="H12" s="50">
        <v>1970</v>
      </c>
      <c r="I12" s="50">
        <v>35300</v>
      </c>
      <c r="J12" s="49"/>
      <c r="K12" s="36"/>
      <c r="M12" s="24" t="s">
        <v>21</v>
      </c>
      <c r="N12" s="31" t="s">
        <v>20</v>
      </c>
      <c r="O12" s="23" t="s">
        <v>51</v>
      </c>
      <c r="P12" s="24" t="s">
        <v>51</v>
      </c>
      <c r="Q12" s="23" t="s">
        <v>28</v>
      </c>
      <c r="R12" s="5"/>
      <c r="S12" s="5"/>
      <c r="T12" s="5"/>
    </row>
    <row r="13" spans="1:20" ht="17" x14ac:dyDescent="0.2">
      <c r="A13" s="38"/>
      <c r="B13" s="40"/>
      <c r="C13" s="37"/>
      <c r="D13" s="37"/>
      <c r="E13" s="37"/>
      <c r="F13" s="37"/>
      <c r="G13" s="37"/>
      <c r="H13" s="37"/>
      <c r="I13" s="37"/>
      <c r="J13" s="37"/>
      <c r="K13" s="36"/>
      <c r="M13" s="16" t="s">
        <v>17</v>
      </c>
      <c r="N13" s="21" t="s">
        <v>49</v>
      </c>
      <c r="O13" s="21" t="s">
        <v>50</v>
      </c>
      <c r="P13" s="16" t="s">
        <v>49</v>
      </c>
      <c r="Q13" s="30" t="s">
        <v>15</v>
      </c>
      <c r="R13" s="5"/>
      <c r="S13" s="5"/>
      <c r="T13" s="5"/>
    </row>
    <row r="14" spans="1:20" x14ac:dyDescent="0.2">
      <c r="A14" s="38"/>
      <c r="B14" s="40"/>
      <c r="C14" s="48">
        <v>-1.2999999999999999E-2</v>
      </c>
      <c r="D14" s="293" t="s">
        <v>48</v>
      </c>
      <c r="E14" s="293"/>
      <c r="F14" s="293"/>
      <c r="G14" s="293"/>
      <c r="H14" s="37"/>
      <c r="I14" s="37"/>
      <c r="J14" s="37"/>
      <c r="K14" s="36"/>
      <c r="M14" s="11">
        <f>M8</f>
        <v>2014</v>
      </c>
      <c r="N14" s="9">
        <f>D9</f>
        <v>127500</v>
      </c>
      <c r="O14" s="28">
        <f>E9</f>
        <v>0.71</v>
      </c>
      <c r="P14" s="47">
        <f>N14*O14</f>
        <v>90525</v>
      </c>
      <c r="Q14" s="44">
        <f>Q8/P14</f>
        <v>2.3367142409279205E-2</v>
      </c>
      <c r="R14" s="5"/>
      <c r="S14" s="5"/>
      <c r="T14" s="5"/>
    </row>
    <row r="15" spans="1:20" x14ac:dyDescent="0.2">
      <c r="A15" s="38"/>
      <c r="B15" s="40"/>
      <c r="C15" s="46">
        <v>0.06</v>
      </c>
      <c r="D15" s="294" t="s">
        <v>47</v>
      </c>
      <c r="E15" s="294"/>
      <c r="F15" s="294"/>
      <c r="G15" s="294"/>
      <c r="H15" s="37"/>
      <c r="I15" s="37"/>
      <c r="J15" s="37"/>
      <c r="K15" s="36"/>
      <c r="M15" s="11">
        <f>M9</f>
        <v>2015</v>
      </c>
      <c r="N15" s="9">
        <f>D10</f>
        <v>117600</v>
      </c>
      <c r="O15" s="28">
        <f>E10</f>
        <v>0.66</v>
      </c>
      <c r="P15" s="45">
        <f>N15*O15</f>
        <v>77616</v>
      </c>
      <c r="Q15" s="44">
        <f>Q9/P15</f>
        <v>2.4725738636363636E-2</v>
      </c>
      <c r="R15" s="5"/>
      <c r="S15" s="5"/>
      <c r="T15" s="5"/>
    </row>
    <row r="16" spans="1:20" x14ac:dyDescent="0.2">
      <c r="A16" s="38"/>
      <c r="B16" s="40"/>
      <c r="C16" s="43">
        <v>0.15</v>
      </c>
      <c r="D16" s="297" t="s">
        <v>46</v>
      </c>
      <c r="E16" s="297"/>
      <c r="F16" s="297"/>
      <c r="G16" s="298"/>
      <c r="H16" s="37"/>
      <c r="I16" s="37"/>
      <c r="J16" s="37"/>
      <c r="K16" s="36"/>
      <c r="M16" s="5"/>
      <c r="N16" s="5"/>
      <c r="O16" s="5"/>
      <c r="P16" s="5"/>
      <c r="Q16" s="5"/>
      <c r="R16" s="5"/>
      <c r="S16" s="5"/>
      <c r="T16" s="5"/>
    </row>
    <row r="17" spans="1:20" x14ac:dyDescent="0.2">
      <c r="A17" s="38"/>
      <c r="B17" s="40"/>
      <c r="C17" s="42"/>
      <c r="D17" s="299" t="s">
        <v>45</v>
      </c>
      <c r="E17" s="299"/>
      <c r="F17" s="299"/>
      <c r="G17" s="300"/>
      <c r="H17" s="37"/>
      <c r="I17" s="37"/>
      <c r="J17" s="37"/>
      <c r="K17" s="36"/>
      <c r="M17" s="5"/>
      <c r="N17" s="5"/>
      <c r="O17" s="5" t="s">
        <v>44</v>
      </c>
      <c r="P17" s="5"/>
      <c r="Q17" s="41">
        <f>AVERAGE(Q14:Q15)</f>
        <v>2.404644052282142E-2</v>
      </c>
      <c r="R17" s="5" t="s">
        <v>43</v>
      </c>
      <c r="S17" s="5"/>
      <c r="T17" s="5"/>
    </row>
    <row r="18" spans="1:20" x14ac:dyDescent="0.2">
      <c r="A18" s="38"/>
      <c r="B18" s="40"/>
      <c r="C18" s="37"/>
      <c r="D18" s="37"/>
      <c r="E18" s="37"/>
      <c r="F18" s="37"/>
      <c r="G18" s="37"/>
      <c r="H18" s="37"/>
      <c r="I18" s="37"/>
      <c r="J18" s="37"/>
      <c r="K18" s="36"/>
      <c r="M18" s="5"/>
      <c r="N18" s="5"/>
      <c r="O18" s="296" t="s">
        <v>42</v>
      </c>
      <c r="P18" s="296"/>
      <c r="Q18" s="41">
        <f>Q17*E11/(1+C14)</f>
        <v>2.0708687380342664E-2</v>
      </c>
      <c r="R18" s="5" t="s">
        <v>41</v>
      </c>
      <c r="S18" s="5"/>
      <c r="T18" s="5"/>
    </row>
    <row r="19" spans="1:20" x14ac:dyDescent="0.2">
      <c r="A19" s="38" t="s">
        <v>40</v>
      </c>
      <c r="B19" s="39" t="s">
        <v>39</v>
      </c>
      <c r="C19" s="37" t="s">
        <v>38</v>
      </c>
      <c r="D19" s="37"/>
      <c r="E19" s="37"/>
      <c r="F19" s="37"/>
      <c r="G19" s="37"/>
      <c r="H19" s="37"/>
      <c r="I19" s="37"/>
      <c r="J19" s="37"/>
      <c r="K19" s="36"/>
      <c r="M19" s="5"/>
      <c r="N19" s="5"/>
      <c r="S19" s="5"/>
      <c r="T19" s="5"/>
    </row>
    <row r="20" spans="1:20" x14ac:dyDescent="0.2">
      <c r="A20" s="38"/>
      <c r="B20" s="40"/>
      <c r="C20" s="37" t="s">
        <v>37</v>
      </c>
      <c r="D20" s="37"/>
      <c r="E20" s="37"/>
      <c r="F20" s="37"/>
      <c r="G20" s="37"/>
      <c r="H20" s="37"/>
      <c r="I20" s="37"/>
      <c r="J20" s="37"/>
      <c r="K20" s="36"/>
      <c r="M20" s="5"/>
      <c r="N20" s="5"/>
      <c r="O20" s="5"/>
      <c r="P20" s="5"/>
      <c r="Q20" s="5"/>
      <c r="R20" s="5"/>
      <c r="S20" s="5"/>
      <c r="T20" s="5"/>
    </row>
    <row r="21" spans="1:20" x14ac:dyDescent="0.2">
      <c r="A21" s="38"/>
      <c r="B21" s="40"/>
      <c r="C21" s="37"/>
      <c r="D21" s="37"/>
      <c r="E21" s="37"/>
      <c r="F21" s="37"/>
      <c r="G21" s="37"/>
      <c r="H21" s="37"/>
      <c r="I21" s="37"/>
      <c r="J21" s="37"/>
      <c r="K21" s="36"/>
      <c r="M21" s="5"/>
      <c r="N21" s="5"/>
      <c r="O21" s="5"/>
      <c r="P21" s="5"/>
      <c r="Q21" s="5"/>
      <c r="R21" s="5"/>
      <c r="S21" s="5"/>
      <c r="T21" s="5"/>
    </row>
    <row r="22" spans="1:20" x14ac:dyDescent="0.2">
      <c r="A22" s="38" t="s">
        <v>36</v>
      </c>
      <c r="B22" s="39" t="s">
        <v>35</v>
      </c>
      <c r="C22" s="37" t="s">
        <v>34</v>
      </c>
      <c r="D22" s="37"/>
      <c r="E22" s="37"/>
      <c r="F22" s="37"/>
      <c r="G22" s="37"/>
      <c r="H22" s="37"/>
      <c r="I22" s="37"/>
      <c r="J22" s="37"/>
      <c r="K22" s="36"/>
      <c r="M22" s="5" t="s">
        <v>33</v>
      </c>
      <c r="N22" s="5"/>
      <c r="O22" s="5"/>
      <c r="P22" s="5"/>
      <c r="Q22" s="5"/>
      <c r="R22" s="5"/>
      <c r="S22" s="5"/>
      <c r="T22" s="5"/>
    </row>
    <row r="23" spans="1:20" ht="17" thickBot="1" x14ac:dyDescent="0.25">
      <c r="A23" s="38"/>
      <c r="B23" s="37"/>
      <c r="C23" s="37"/>
      <c r="D23" s="37"/>
      <c r="E23" s="37"/>
      <c r="F23" s="37"/>
      <c r="G23" s="37"/>
      <c r="H23" s="37"/>
      <c r="I23" s="37"/>
      <c r="J23" s="37"/>
      <c r="K23" s="36"/>
      <c r="M23" s="5"/>
      <c r="N23" s="5"/>
      <c r="O23" s="5"/>
      <c r="P23" s="5"/>
      <c r="Q23" s="5"/>
      <c r="R23" s="5"/>
      <c r="S23" s="5"/>
      <c r="T23" s="5"/>
    </row>
    <row r="24" spans="1:20" ht="17" thickBot="1" x14ac:dyDescent="0.25">
      <c r="A24" s="35" t="s">
        <v>32</v>
      </c>
      <c r="B24" s="33"/>
      <c r="C24" s="34"/>
      <c r="D24" s="33"/>
      <c r="E24" s="33"/>
      <c r="F24" s="33"/>
      <c r="G24" s="33"/>
      <c r="H24" s="33"/>
      <c r="I24" s="33"/>
      <c r="J24" s="33"/>
      <c r="K24" s="32"/>
      <c r="M24" s="24" t="s">
        <v>21</v>
      </c>
      <c r="N24" s="31" t="s">
        <v>18</v>
      </c>
      <c r="O24" s="23" t="s">
        <v>31</v>
      </c>
      <c r="P24" s="23" t="s">
        <v>30</v>
      </c>
      <c r="Q24" s="24" t="s">
        <v>29</v>
      </c>
      <c r="R24" s="23" t="s">
        <v>28</v>
      </c>
      <c r="S24" s="5"/>
      <c r="T24" s="5"/>
    </row>
    <row r="25" spans="1:20" ht="17" x14ac:dyDescent="0.2">
      <c r="M25" s="16" t="s">
        <v>17</v>
      </c>
      <c r="N25" s="21" t="s">
        <v>14</v>
      </c>
      <c r="O25" s="21" t="s">
        <v>27</v>
      </c>
      <c r="P25" s="21" t="s">
        <v>26</v>
      </c>
      <c r="Q25" s="16" t="s">
        <v>25</v>
      </c>
      <c r="R25" s="30" t="s">
        <v>14</v>
      </c>
      <c r="S25" s="5"/>
      <c r="T25" s="5"/>
    </row>
    <row r="26" spans="1:20" x14ac:dyDescent="0.2">
      <c r="M26" s="11">
        <f>G11</f>
        <v>2014</v>
      </c>
      <c r="N26" s="9">
        <f>I11</f>
        <v>32600</v>
      </c>
      <c r="O26" s="29">
        <f>2017-M26</f>
        <v>3</v>
      </c>
      <c r="P26" s="28">
        <f>(1+$C$15)^O26</f>
        <v>1.1910160000000003</v>
      </c>
      <c r="Q26" s="27">
        <f>1-$C$16</f>
        <v>0.85</v>
      </c>
      <c r="R26" s="9">
        <f>N26*P26*Q26</f>
        <v>33003.053360000013</v>
      </c>
      <c r="S26" s="5"/>
      <c r="T26" s="5"/>
    </row>
    <row r="27" spans="1:20" x14ac:dyDescent="0.2">
      <c r="M27" s="11">
        <f>G12</f>
        <v>2015</v>
      </c>
      <c r="N27" s="9">
        <f>I12</f>
        <v>35300</v>
      </c>
      <c r="O27" s="29">
        <f>2017-M27</f>
        <v>2</v>
      </c>
      <c r="P27" s="28">
        <f>(1+$C$15)^O27</f>
        <v>1.1236000000000002</v>
      </c>
      <c r="Q27" s="27">
        <f>1-$C$16</f>
        <v>0.85</v>
      </c>
      <c r="R27" s="9">
        <f>N27*P27*Q27</f>
        <v>33713.618000000009</v>
      </c>
      <c r="S27" s="5"/>
      <c r="T27" s="5"/>
    </row>
    <row r="28" spans="1:20" x14ac:dyDescent="0.2">
      <c r="M28" s="5"/>
      <c r="N28" s="5"/>
      <c r="O28" s="5"/>
      <c r="P28" s="5"/>
      <c r="Q28" s="5"/>
      <c r="R28" s="5"/>
      <c r="S28" s="5"/>
      <c r="T28" s="5"/>
    </row>
    <row r="29" spans="1:20" x14ac:dyDescent="0.2">
      <c r="M29" s="5"/>
      <c r="N29" s="5"/>
      <c r="O29" s="5"/>
      <c r="P29" s="296" t="s">
        <v>24</v>
      </c>
      <c r="Q29" s="296"/>
      <c r="R29" s="25">
        <f>AVERAGE(R26:R27)</f>
        <v>33358.335680000011</v>
      </c>
      <c r="S29" s="5"/>
      <c r="T29" s="5"/>
    </row>
    <row r="30" spans="1:20" x14ac:dyDescent="0.2">
      <c r="M30" s="5"/>
      <c r="N30" s="5"/>
      <c r="O30" s="5"/>
      <c r="P30" s="296" t="s">
        <v>23</v>
      </c>
      <c r="Q30" s="296"/>
      <c r="R30" s="25">
        <f>R29/((1+$C$15)*(1-C16))</f>
        <v>37023.680000000015</v>
      </c>
      <c r="S30" s="5"/>
      <c r="T30" s="5"/>
    </row>
    <row r="31" spans="1:20" x14ac:dyDescent="0.2">
      <c r="M31" s="5"/>
      <c r="N31" s="5"/>
      <c r="O31" s="5"/>
      <c r="S31" s="5"/>
      <c r="T31" s="5"/>
    </row>
    <row r="32" spans="1:20" x14ac:dyDescent="0.2">
      <c r="M32" s="5" t="s">
        <v>22</v>
      </c>
      <c r="N32" s="5"/>
      <c r="O32" s="5"/>
      <c r="P32" s="5"/>
      <c r="Q32" s="5"/>
      <c r="R32" s="5"/>
      <c r="S32" s="5"/>
      <c r="T32" s="5"/>
    </row>
    <row r="33" spans="13:20" ht="17" thickBot="1" x14ac:dyDescent="0.25">
      <c r="M33" s="5"/>
      <c r="N33" s="5"/>
      <c r="O33" s="5"/>
      <c r="P33" s="5"/>
      <c r="Q33" s="5"/>
      <c r="R33" s="5"/>
      <c r="S33" s="5"/>
      <c r="T33" s="5"/>
    </row>
    <row r="34" spans="13:20" x14ac:dyDescent="0.2">
      <c r="M34" s="24" t="s">
        <v>21</v>
      </c>
      <c r="N34" s="23" t="s">
        <v>20</v>
      </c>
      <c r="O34" s="23" t="s">
        <v>19</v>
      </c>
      <c r="P34" s="23" t="s">
        <v>19</v>
      </c>
      <c r="Q34" s="22" t="s">
        <v>18</v>
      </c>
      <c r="R34" s="5"/>
      <c r="S34" s="5"/>
      <c r="T34" s="5"/>
    </row>
    <row r="35" spans="13:20" ht="17" x14ac:dyDescent="0.2">
      <c r="M35" s="16" t="s">
        <v>17</v>
      </c>
      <c r="N35" s="21" t="s">
        <v>16</v>
      </c>
      <c r="O35" s="21" t="s">
        <v>15</v>
      </c>
      <c r="P35" s="21" t="s">
        <v>14</v>
      </c>
      <c r="Q35" s="20" t="s">
        <v>13</v>
      </c>
      <c r="R35" s="5"/>
      <c r="S35" s="5"/>
      <c r="T35" s="5"/>
    </row>
    <row r="36" spans="13:20" x14ac:dyDescent="0.2">
      <c r="M36" s="11">
        <f>C11</f>
        <v>2016</v>
      </c>
      <c r="N36" s="19">
        <f>D11</f>
        <v>64300</v>
      </c>
      <c r="O36" s="18">
        <f>Q18</f>
        <v>2.0708687380342664E-2</v>
      </c>
      <c r="P36" s="9">
        <f>R30</f>
        <v>37023.680000000015</v>
      </c>
      <c r="Q36" s="17">
        <f>N36*O36*P36/1000</f>
        <v>49299.56969098706</v>
      </c>
      <c r="R36" s="5"/>
      <c r="S36" s="5"/>
      <c r="T36" s="5"/>
    </row>
    <row r="37" spans="13:20" x14ac:dyDescent="0.2">
      <c r="M37" s="16">
        <f>C12</f>
        <v>2017</v>
      </c>
      <c r="N37" s="15">
        <f>D12</f>
        <v>58900</v>
      </c>
      <c r="O37" s="14">
        <f>Q17</f>
        <v>2.404644052282142E-2</v>
      </c>
      <c r="P37" s="13">
        <f>R29</f>
        <v>33358.335680000011</v>
      </c>
      <c r="Q37" s="12">
        <f>N37*O37*P37/1000</f>
        <v>47246.589933809541</v>
      </c>
      <c r="R37" s="5"/>
      <c r="S37" s="5"/>
      <c r="T37" s="5"/>
    </row>
    <row r="38" spans="13:20" ht="18" thickBot="1" x14ac:dyDescent="0.25">
      <c r="M38" s="11" t="s">
        <v>12</v>
      </c>
      <c r="N38" s="10"/>
      <c r="O38" s="9"/>
      <c r="P38" s="9"/>
      <c r="Q38" s="8">
        <f>SUM(Q36:Q37)</f>
        <v>96546.159624796594</v>
      </c>
      <c r="R38" s="5"/>
      <c r="S38" s="5"/>
      <c r="T38" s="5"/>
    </row>
    <row r="39" spans="13:20" x14ac:dyDescent="0.2">
      <c r="M39" s="5"/>
      <c r="N39" s="5"/>
      <c r="O39" s="5"/>
      <c r="P39" s="5"/>
      <c r="Q39" s="5"/>
      <c r="R39" s="5"/>
      <c r="S39" s="5"/>
      <c r="T39" s="5"/>
    </row>
    <row r="40" spans="13:20" x14ac:dyDescent="0.2">
      <c r="M40" s="7" t="s">
        <v>11</v>
      </c>
      <c r="N40" s="5"/>
      <c r="O40" s="5"/>
      <c r="P40" s="5"/>
      <c r="Q40" s="5"/>
      <c r="R40" s="5"/>
      <c r="S40" s="5"/>
      <c r="T40" s="5"/>
    </row>
    <row r="41" spans="13:20" x14ac:dyDescent="0.2">
      <c r="M41" s="6" t="s">
        <v>10</v>
      </c>
      <c r="N41" s="5"/>
      <c r="O41" s="5"/>
      <c r="P41" s="5"/>
      <c r="Q41" s="5"/>
      <c r="R41" s="5"/>
      <c r="S41" s="5"/>
      <c r="T41" s="5"/>
    </row>
    <row r="42" spans="13:20" x14ac:dyDescent="0.2">
      <c r="M42" s="1" t="s">
        <v>9</v>
      </c>
      <c r="N42" s="5"/>
      <c r="O42" s="5"/>
      <c r="P42" s="5"/>
      <c r="Q42" s="5"/>
      <c r="R42" s="5"/>
      <c r="S42" s="5"/>
      <c r="T42" s="5"/>
    </row>
    <row r="43" spans="13:20" x14ac:dyDescent="0.2">
      <c r="M43" s="1" t="s">
        <v>8</v>
      </c>
      <c r="N43" s="5"/>
      <c r="O43" s="5"/>
      <c r="P43" s="5"/>
      <c r="Q43" s="5"/>
      <c r="R43" s="5"/>
      <c r="S43" s="5"/>
      <c r="T43" s="5"/>
    </row>
    <row r="44" spans="13:20" x14ac:dyDescent="0.2">
      <c r="M44" s="1" t="s">
        <v>7</v>
      </c>
      <c r="N44" s="5"/>
      <c r="O44" s="5"/>
      <c r="P44" s="5"/>
      <c r="Q44" s="5"/>
      <c r="R44" s="5"/>
      <c r="S44" s="5"/>
      <c r="T44" s="5"/>
    </row>
    <row r="45" spans="13:20" x14ac:dyDescent="0.2">
      <c r="M45" s="1" t="s">
        <v>6</v>
      </c>
      <c r="N45" s="5"/>
      <c r="O45" s="5"/>
      <c r="P45" s="5"/>
      <c r="Q45" s="5"/>
      <c r="R45" s="5"/>
      <c r="S45" s="5"/>
      <c r="T45" s="5"/>
    </row>
    <row r="46" spans="13:20" x14ac:dyDescent="0.2">
      <c r="M46" s="1" t="s">
        <v>5</v>
      </c>
      <c r="N46" s="5"/>
      <c r="O46" s="5"/>
      <c r="P46" s="5"/>
      <c r="Q46" s="5"/>
      <c r="R46" s="5"/>
      <c r="S46" s="5"/>
      <c r="T46" s="5"/>
    </row>
    <row r="47" spans="13:20" x14ac:dyDescent="0.2">
      <c r="M47" s="1" t="s">
        <v>4</v>
      </c>
      <c r="N47" s="5"/>
      <c r="O47" s="5"/>
      <c r="P47" s="5"/>
      <c r="Q47" s="5"/>
      <c r="R47" s="5"/>
      <c r="S47" s="5"/>
      <c r="T47" s="5"/>
    </row>
    <row r="48" spans="13:20" x14ac:dyDescent="0.2">
      <c r="M48" s="5"/>
      <c r="N48" s="5"/>
      <c r="O48" s="5"/>
      <c r="P48" s="5"/>
      <c r="Q48" s="5"/>
      <c r="R48" s="5"/>
      <c r="S48" s="5"/>
      <c r="T48" s="5"/>
    </row>
    <row r="49" spans="13:19" ht="19" x14ac:dyDescent="0.25">
      <c r="M49" s="3" t="s">
        <v>3</v>
      </c>
      <c r="N49" s="4"/>
      <c r="O49" s="4"/>
      <c r="P49" s="4"/>
      <c r="Q49" s="4"/>
      <c r="R49" s="4"/>
      <c r="S49" s="4"/>
    </row>
    <row r="50" spans="13:19" x14ac:dyDescent="0.2">
      <c r="M50" s="295" t="s">
        <v>2</v>
      </c>
      <c r="N50" s="295"/>
      <c r="O50" s="295"/>
      <c r="P50" s="295"/>
      <c r="Q50" s="295"/>
      <c r="R50" s="295"/>
      <c r="S50" s="295"/>
    </row>
    <row r="51" spans="13:19" x14ac:dyDescent="0.2">
      <c r="M51" s="295"/>
      <c r="N51" s="295"/>
      <c r="O51" s="295"/>
      <c r="P51" s="295"/>
      <c r="Q51" s="295"/>
      <c r="R51" s="295"/>
      <c r="S51" s="295"/>
    </row>
    <row r="52" spans="13:19" x14ac:dyDescent="0.2">
      <c r="M52" s="295"/>
      <c r="N52" s="295"/>
      <c r="O52" s="295"/>
      <c r="P52" s="295"/>
      <c r="Q52" s="295"/>
      <c r="R52" s="295"/>
      <c r="S52" s="295"/>
    </row>
    <row r="53" spans="13:19" x14ac:dyDescent="0.2">
      <c r="M53" s="295"/>
      <c r="N53" s="295"/>
      <c r="O53" s="295"/>
      <c r="P53" s="295"/>
      <c r="Q53" s="295"/>
      <c r="R53" s="295"/>
      <c r="S53" s="295"/>
    </row>
    <row r="54" spans="13:19" x14ac:dyDescent="0.2">
      <c r="M54" s="295"/>
      <c r="N54" s="295"/>
      <c r="O54" s="295"/>
      <c r="P54" s="295"/>
      <c r="Q54" s="295"/>
      <c r="R54" s="295"/>
      <c r="S54" s="295"/>
    </row>
    <row r="55" spans="13:19" x14ac:dyDescent="0.2">
      <c r="M55" s="295"/>
      <c r="N55" s="295"/>
      <c r="O55" s="295"/>
      <c r="P55" s="295"/>
      <c r="Q55" s="295"/>
      <c r="R55" s="295"/>
      <c r="S55" s="295"/>
    </row>
    <row r="56" spans="13:19" x14ac:dyDescent="0.2">
      <c r="M56" s="295"/>
      <c r="N56" s="295"/>
      <c r="O56" s="295"/>
      <c r="P56" s="295"/>
      <c r="Q56" s="295"/>
      <c r="R56" s="295"/>
      <c r="S56" s="295"/>
    </row>
    <row r="57" spans="13:19" x14ac:dyDescent="0.2">
      <c r="M57" s="295"/>
      <c r="N57" s="295"/>
      <c r="O57" s="295"/>
      <c r="P57" s="295"/>
      <c r="Q57" s="295"/>
      <c r="R57" s="295"/>
      <c r="S57" s="295"/>
    </row>
    <row r="58" spans="13:19" x14ac:dyDescent="0.2">
      <c r="M58" s="295"/>
      <c r="N58" s="295"/>
      <c r="O58" s="295"/>
      <c r="P58" s="295"/>
      <c r="Q58" s="295"/>
      <c r="R58" s="295"/>
      <c r="S58" s="295"/>
    </row>
    <row r="60" spans="13:19" ht="19" x14ac:dyDescent="0.25">
      <c r="M60" s="3" t="s">
        <v>1</v>
      </c>
    </row>
    <row r="61" spans="13:19" x14ac:dyDescent="0.2">
      <c r="M61" s="1" t="s">
        <v>0</v>
      </c>
    </row>
  </sheetData>
  <mergeCells count="8">
    <mergeCell ref="D14:G14"/>
    <mergeCell ref="D15:G15"/>
    <mergeCell ref="M50:S58"/>
    <mergeCell ref="O18:P18"/>
    <mergeCell ref="P29:Q29"/>
    <mergeCell ref="P30:Q30"/>
    <mergeCell ref="D16:G16"/>
    <mergeCell ref="D17:G17"/>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1119B-F812-0B4E-9EBD-E178E6B15E3C}">
  <dimension ref="A1:T89"/>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3" width="11" style="1"/>
    <col min="4" max="6" width="11.83203125" style="1" customWidth="1"/>
    <col min="7" max="12" width="11" style="1"/>
    <col min="13" max="19" width="11" style="10" hidden="1" customWidth="1" outlineLevel="1"/>
    <col min="20" max="20" width="11" style="1" collapsed="1"/>
    <col min="21" max="16384" width="11" style="1"/>
  </cols>
  <sheetData>
    <row r="1" spans="1:19" x14ac:dyDescent="0.2">
      <c r="A1" s="71"/>
      <c r="B1" s="70" t="s">
        <v>70</v>
      </c>
      <c r="C1" s="69" t="s">
        <v>441</v>
      </c>
      <c r="D1" s="69" t="s">
        <v>68</v>
      </c>
      <c r="E1" s="69" t="s">
        <v>440</v>
      </c>
      <c r="F1" s="68"/>
      <c r="G1" s="68"/>
      <c r="H1" s="68"/>
      <c r="I1" s="68"/>
      <c r="J1" s="68"/>
      <c r="K1" s="67"/>
      <c r="L1" s="64" t="s">
        <v>66</v>
      </c>
      <c r="M1" s="5"/>
      <c r="N1" s="5"/>
      <c r="O1" s="5"/>
      <c r="P1" s="5"/>
      <c r="Q1" s="5"/>
      <c r="R1" s="5"/>
      <c r="S1" s="5"/>
    </row>
    <row r="2" spans="1:19" x14ac:dyDescent="0.2">
      <c r="A2" s="38"/>
      <c r="B2" s="66" t="s">
        <v>65</v>
      </c>
      <c r="C2" s="65">
        <v>2.25</v>
      </c>
      <c r="D2" s="37"/>
      <c r="E2" s="37"/>
      <c r="F2" s="37"/>
      <c r="G2" s="37"/>
      <c r="H2" s="37"/>
      <c r="I2" s="37"/>
      <c r="J2" s="37"/>
      <c r="K2" s="36"/>
      <c r="M2" s="5"/>
      <c r="N2" s="5"/>
      <c r="O2" s="5"/>
      <c r="P2" s="5"/>
      <c r="Q2" s="5"/>
      <c r="R2" s="5"/>
      <c r="S2" s="5"/>
    </row>
    <row r="3" spans="1:19" x14ac:dyDescent="0.2">
      <c r="A3" s="38"/>
      <c r="B3" s="37"/>
      <c r="C3" s="37"/>
      <c r="D3" s="37"/>
      <c r="E3" s="37"/>
      <c r="F3" s="37"/>
      <c r="G3" s="37"/>
      <c r="H3" s="37"/>
      <c r="I3" s="37"/>
      <c r="J3" s="37"/>
      <c r="K3" s="36"/>
      <c r="M3" s="7" t="s">
        <v>64</v>
      </c>
      <c r="N3" s="5"/>
      <c r="O3" s="5"/>
      <c r="P3" s="5"/>
      <c r="Q3" s="5"/>
      <c r="R3" s="5"/>
      <c r="S3" s="5"/>
    </row>
    <row r="4" spans="1:19" x14ac:dyDescent="0.2">
      <c r="A4" s="38"/>
      <c r="B4" s="37"/>
      <c r="C4" s="37" t="s">
        <v>439</v>
      </c>
      <c r="D4" s="37"/>
      <c r="E4" s="37"/>
      <c r="F4" s="37"/>
      <c r="G4" s="37"/>
      <c r="H4" s="37"/>
      <c r="I4" s="37"/>
      <c r="J4" s="37"/>
      <c r="K4" s="36"/>
      <c r="M4" s="5"/>
      <c r="N4" s="5"/>
      <c r="O4" s="5"/>
      <c r="P4" s="5"/>
      <c r="Q4" s="5"/>
      <c r="R4" s="5"/>
      <c r="S4" s="5"/>
    </row>
    <row r="5" spans="1:19" x14ac:dyDescent="0.2">
      <c r="A5" s="38"/>
      <c r="B5" s="37"/>
      <c r="C5" s="37"/>
      <c r="D5" s="37"/>
      <c r="E5" s="37"/>
      <c r="F5" s="37"/>
      <c r="G5" s="37"/>
      <c r="H5" s="37"/>
      <c r="I5" s="37"/>
      <c r="J5" s="37"/>
      <c r="K5" s="36"/>
      <c r="M5" s="5" t="s">
        <v>438</v>
      </c>
      <c r="N5" s="7"/>
      <c r="O5" s="7"/>
      <c r="P5" s="7"/>
      <c r="Q5" s="5"/>
      <c r="R5" s="5"/>
      <c r="S5" s="5"/>
    </row>
    <row r="6" spans="1:19" x14ac:dyDescent="0.2">
      <c r="A6" s="38"/>
      <c r="B6" s="37"/>
      <c r="C6" s="62" t="s">
        <v>21</v>
      </c>
      <c r="D6" s="257" t="s">
        <v>125</v>
      </c>
      <c r="E6" s="257"/>
      <c r="F6" s="257"/>
      <c r="G6" s="260"/>
      <c r="H6" s="37"/>
      <c r="I6" s="37"/>
      <c r="J6" s="37"/>
      <c r="K6" s="36"/>
      <c r="M6" s="114"/>
      <c r="N6" s="114"/>
      <c r="O6" s="114"/>
      <c r="P6" s="114"/>
      <c r="Q6" s="114"/>
      <c r="R6" s="114"/>
      <c r="S6" s="5"/>
    </row>
    <row r="7" spans="1:19" ht="17" x14ac:dyDescent="0.2">
      <c r="A7" s="38"/>
      <c r="B7" s="37"/>
      <c r="C7" s="42" t="s">
        <v>149</v>
      </c>
      <c r="D7" s="144">
        <v>12</v>
      </c>
      <c r="E7" s="144">
        <v>24</v>
      </c>
      <c r="F7" s="144">
        <v>36</v>
      </c>
      <c r="G7" s="54">
        <v>48</v>
      </c>
      <c r="H7" s="37"/>
      <c r="I7" s="37"/>
      <c r="J7" s="37"/>
      <c r="K7" s="36"/>
      <c r="M7" s="16"/>
      <c r="N7" s="112" t="s">
        <v>113</v>
      </c>
      <c r="O7" s="111" t="s">
        <v>112</v>
      </c>
      <c r="P7" s="111" t="s">
        <v>432</v>
      </c>
      <c r="Q7" s="5"/>
      <c r="R7" s="1"/>
      <c r="S7" s="1"/>
    </row>
    <row r="8" spans="1:19" x14ac:dyDescent="0.2">
      <c r="A8" s="38"/>
      <c r="B8" s="37"/>
      <c r="C8" s="62">
        <v>2015</v>
      </c>
      <c r="D8" s="63">
        <v>250</v>
      </c>
      <c r="E8" s="146">
        <v>238</v>
      </c>
      <c r="F8" s="146">
        <v>245</v>
      </c>
      <c r="G8" s="61">
        <v>260</v>
      </c>
      <c r="H8" s="37"/>
      <c r="I8" s="37"/>
      <c r="J8" s="37"/>
      <c r="K8" s="36"/>
      <c r="M8" s="110" t="s">
        <v>109</v>
      </c>
      <c r="N8" s="108">
        <f>AVERAGE(D22:D24)</f>
        <v>0.97499999999999998</v>
      </c>
      <c r="O8" s="108">
        <f>AVERAGE(E22:E24)</f>
        <v>1.0295000000000001</v>
      </c>
      <c r="P8" s="109">
        <f>AVERAGE(F22:F24)</f>
        <v>1.0609999999999999</v>
      </c>
      <c r="Q8" s="5"/>
      <c r="R8" s="1"/>
      <c r="S8" s="1"/>
    </row>
    <row r="9" spans="1:19" x14ac:dyDescent="0.2">
      <c r="A9" s="38"/>
      <c r="B9" s="37"/>
      <c r="C9" s="58">
        <v>2016</v>
      </c>
      <c r="D9" s="59">
        <v>275</v>
      </c>
      <c r="E9" s="40">
        <v>270</v>
      </c>
      <c r="F9" s="40">
        <v>278</v>
      </c>
      <c r="G9" s="57"/>
      <c r="H9" s="37"/>
      <c r="I9" s="37"/>
      <c r="J9" s="37"/>
      <c r="K9" s="36"/>
      <c r="M9" s="110" t="s">
        <v>104</v>
      </c>
      <c r="N9" s="109">
        <f>N8*O9</f>
        <v>1.0649920124999999</v>
      </c>
      <c r="O9" s="109">
        <f>O8*P9</f>
        <v>1.0922995</v>
      </c>
      <c r="P9" s="109">
        <f>P8</f>
        <v>1.0609999999999999</v>
      </c>
      <c r="Q9" s="5"/>
      <c r="R9" s="1"/>
      <c r="S9" s="1"/>
    </row>
    <row r="10" spans="1:19" x14ac:dyDescent="0.2">
      <c r="A10" s="38"/>
      <c r="B10" s="37"/>
      <c r="C10" s="58">
        <v>2017</v>
      </c>
      <c r="D10" s="59">
        <v>323</v>
      </c>
      <c r="E10" s="40">
        <v>320</v>
      </c>
      <c r="F10" s="40"/>
      <c r="G10" s="57"/>
      <c r="H10" s="37"/>
      <c r="I10" s="37"/>
      <c r="J10" s="37"/>
      <c r="K10" s="36"/>
      <c r="M10" s="1"/>
      <c r="N10" s="1"/>
      <c r="O10" s="1"/>
      <c r="P10" s="1"/>
      <c r="Q10" s="1"/>
      <c r="R10" s="1"/>
      <c r="S10" s="1"/>
    </row>
    <row r="11" spans="1:19" x14ac:dyDescent="0.2">
      <c r="A11" s="38"/>
      <c r="B11" s="37"/>
      <c r="C11" s="42">
        <v>2018</v>
      </c>
      <c r="D11" s="55">
        <v>375</v>
      </c>
      <c r="E11" s="144"/>
      <c r="F11" s="144"/>
      <c r="G11" s="54"/>
      <c r="H11" s="37"/>
      <c r="I11" s="37"/>
      <c r="J11" s="37"/>
      <c r="K11" s="36"/>
      <c r="M11" s="64" t="s">
        <v>437</v>
      </c>
      <c r="N11" s="64"/>
      <c r="O11" s="64"/>
      <c r="P11" s="238">
        <f>N9*D11</f>
        <v>399.37200468749995</v>
      </c>
      <c r="Q11" s="1"/>
      <c r="R11" s="1"/>
      <c r="S11" s="1"/>
    </row>
    <row r="12" spans="1:19" x14ac:dyDescent="0.2">
      <c r="A12" s="38"/>
      <c r="B12" s="37"/>
      <c r="C12" s="37"/>
      <c r="D12" s="37"/>
      <c r="E12" s="37"/>
      <c r="F12" s="37"/>
      <c r="G12" s="37"/>
      <c r="H12" s="37"/>
      <c r="I12" s="37"/>
      <c r="J12" s="37"/>
      <c r="K12" s="36"/>
      <c r="M12" s="1"/>
      <c r="N12" s="1"/>
      <c r="O12" s="1"/>
      <c r="P12" s="1"/>
      <c r="Q12" s="1"/>
      <c r="R12" s="1"/>
      <c r="S12" s="1"/>
    </row>
    <row r="13" spans="1:19" x14ac:dyDescent="0.2">
      <c r="A13" s="38"/>
      <c r="B13" s="40"/>
      <c r="C13" s="62" t="s">
        <v>21</v>
      </c>
      <c r="D13" s="257" t="s">
        <v>126</v>
      </c>
      <c r="E13" s="257"/>
      <c r="F13" s="257"/>
      <c r="G13" s="260"/>
      <c r="H13" s="37"/>
      <c r="I13" s="37"/>
      <c r="J13" s="37"/>
      <c r="K13" s="36"/>
      <c r="M13" s="1" t="s">
        <v>436</v>
      </c>
      <c r="N13" s="1"/>
      <c r="O13" s="1"/>
      <c r="P13" s="1"/>
      <c r="Q13" s="1"/>
      <c r="R13" s="1"/>
      <c r="S13" s="1"/>
    </row>
    <row r="14" spans="1:19" x14ac:dyDescent="0.2">
      <c r="A14" s="38"/>
      <c r="B14" s="40"/>
      <c r="C14" s="42" t="s">
        <v>17</v>
      </c>
      <c r="D14" s="144">
        <v>12</v>
      </c>
      <c r="E14" s="144">
        <v>24</v>
      </c>
      <c r="F14" s="144">
        <v>36</v>
      </c>
      <c r="G14" s="54">
        <v>48</v>
      </c>
      <c r="H14" s="37"/>
      <c r="I14" s="37"/>
      <c r="J14" s="37"/>
      <c r="K14" s="36"/>
      <c r="M14" s="7"/>
      <c r="N14" s="7"/>
      <c r="O14" s="7"/>
      <c r="P14" s="7"/>
      <c r="Q14" s="114"/>
      <c r="R14" s="114"/>
    </row>
    <row r="15" spans="1:19" x14ac:dyDescent="0.2">
      <c r="A15" s="38"/>
      <c r="B15" s="40"/>
      <c r="C15" s="62">
        <v>2015</v>
      </c>
      <c r="D15" s="202">
        <v>1250</v>
      </c>
      <c r="E15" s="221">
        <v>1280</v>
      </c>
      <c r="F15" s="221">
        <v>1325</v>
      </c>
      <c r="G15" s="220">
        <v>1430</v>
      </c>
      <c r="H15" s="37"/>
      <c r="I15" s="37"/>
      <c r="J15" s="37"/>
      <c r="K15" s="36"/>
      <c r="M15" s="266" t="s">
        <v>435</v>
      </c>
      <c r="N15" s="266"/>
      <c r="O15" s="266"/>
      <c r="P15" s="266"/>
      <c r="Q15" s="266"/>
      <c r="R15" s="114"/>
    </row>
    <row r="16" spans="1:19" x14ac:dyDescent="0.2">
      <c r="A16" s="38"/>
      <c r="B16" s="40"/>
      <c r="C16" s="58">
        <v>2016</v>
      </c>
      <c r="D16" s="199">
        <v>1365</v>
      </c>
      <c r="E16" s="49">
        <v>1395</v>
      </c>
      <c r="F16" s="49">
        <v>1450</v>
      </c>
      <c r="G16" s="57"/>
      <c r="H16" s="37"/>
      <c r="I16" s="37"/>
      <c r="J16" s="37"/>
      <c r="K16" s="36"/>
      <c r="M16" s="24" t="s">
        <v>21</v>
      </c>
      <c r="N16" s="114"/>
      <c r="O16" s="114"/>
      <c r="P16" s="114"/>
      <c r="Q16" s="114"/>
      <c r="R16" s="114"/>
      <c r="S16" s="114"/>
    </row>
    <row r="17" spans="1:19" ht="17" x14ac:dyDescent="0.2">
      <c r="A17" s="38"/>
      <c r="B17" s="40"/>
      <c r="C17" s="58">
        <v>2017</v>
      </c>
      <c r="D17" s="199">
        <v>1625</v>
      </c>
      <c r="E17" s="49">
        <v>1675</v>
      </c>
      <c r="F17" s="40"/>
      <c r="G17" s="57"/>
      <c r="H17" s="37"/>
      <c r="I17" s="37"/>
      <c r="J17" s="37"/>
      <c r="K17" s="36"/>
      <c r="M17" s="16" t="s">
        <v>17</v>
      </c>
      <c r="N17" s="111">
        <v>12</v>
      </c>
      <c r="O17" s="111">
        <v>24</v>
      </c>
      <c r="P17" s="111">
        <v>36</v>
      </c>
      <c r="Q17" s="111">
        <v>48</v>
      </c>
      <c r="R17" s="114"/>
      <c r="S17" s="114"/>
    </row>
    <row r="18" spans="1:19" x14ac:dyDescent="0.2">
      <c r="A18" s="38"/>
      <c r="B18" s="40"/>
      <c r="C18" s="42">
        <v>2018</v>
      </c>
      <c r="D18" s="196">
        <v>1900</v>
      </c>
      <c r="E18" s="144"/>
      <c r="F18" s="144"/>
      <c r="G18" s="54"/>
      <c r="H18" s="37"/>
      <c r="I18" s="37"/>
      <c r="J18" s="37"/>
      <c r="K18" s="36"/>
      <c r="M18" s="11">
        <f>C15</f>
        <v>2015</v>
      </c>
      <c r="N18" s="9">
        <f>D15*1000/D8</f>
        <v>5000</v>
      </c>
      <c r="O18" s="9">
        <f>E15*1000/E8</f>
        <v>5378.1512605042017</v>
      </c>
      <c r="P18" s="9">
        <f>F15*1000/F8</f>
        <v>5408.1632653061224</v>
      </c>
      <c r="Q18" s="9">
        <f>G15*1000/G8</f>
        <v>5500</v>
      </c>
      <c r="R18" s="114"/>
      <c r="S18" s="114"/>
    </row>
    <row r="19" spans="1:19" x14ac:dyDescent="0.2">
      <c r="A19" s="38"/>
      <c r="B19" s="40"/>
      <c r="C19" s="40"/>
      <c r="D19" s="49"/>
      <c r="E19" s="40"/>
      <c r="F19" s="40"/>
      <c r="G19" s="40"/>
      <c r="H19" s="37"/>
      <c r="I19" s="37"/>
      <c r="J19" s="37"/>
      <c r="K19" s="36"/>
      <c r="M19" s="11">
        <f>C16</f>
        <v>2016</v>
      </c>
      <c r="N19" s="9">
        <f>D16*1000/D9</f>
        <v>4963.636363636364</v>
      </c>
      <c r="O19" s="9">
        <f>E16*1000/E9</f>
        <v>5166.666666666667</v>
      </c>
      <c r="P19" s="9">
        <f>F16*1000/F9</f>
        <v>5215.8273381294966</v>
      </c>
      <c r="Q19" s="114"/>
      <c r="R19" s="114"/>
      <c r="S19" s="114"/>
    </row>
    <row r="20" spans="1:19" x14ac:dyDescent="0.2">
      <c r="A20" s="38"/>
      <c r="B20" s="40"/>
      <c r="C20" s="63" t="s">
        <v>21</v>
      </c>
      <c r="D20" s="301" t="s">
        <v>120</v>
      </c>
      <c r="E20" s="302"/>
      <c r="F20" s="303"/>
      <c r="G20" s="37"/>
      <c r="H20" s="37"/>
      <c r="I20" s="37"/>
      <c r="J20" s="37"/>
      <c r="K20" s="36"/>
      <c r="M20" s="11">
        <f>C17</f>
        <v>2017</v>
      </c>
      <c r="N20" s="9">
        <f>D17*1000/D10</f>
        <v>5030.9597523219818</v>
      </c>
      <c r="O20" s="9">
        <f>E17*1000/E10</f>
        <v>5234.375</v>
      </c>
      <c r="P20" s="9"/>
      <c r="Q20" s="9"/>
      <c r="R20" s="9"/>
      <c r="S20" s="9"/>
    </row>
    <row r="21" spans="1:19" x14ac:dyDescent="0.2">
      <c r="A21" s="38"/>
      <c r="B21" s="40"/>
      <c r="C21" s="55" t="s">
        <v>17</v>
      </c>
      <c r="D21" s="237" t="s">
        <v>113</v>
      </c>
      <c r="E21" s="144" t="s">
        <v>112</v>
      </c>
      <c r="F21" s="54" t="s">
        <v>111</v>
      </c>
      <c r="G21" s="37"/>
      <c r="H21" s="37"/>
      <c r="I21" s="37"/>
      <c r="J21" s="37"/>
      <c r="K21" s="36"/>
      <c r="M21" s="11">
        <f>C18</f>
        <v>2018</v>
      </c>
      <c r="N21" s="9">
        <f>D18*1000/D11</f>
        <v>5066.666666666667</v>
      </c>
      <c r="O21" s="9"/>
      <c r="P21" s="9"/>
      <c r="Q21" s="9"/>
      <c r="R21" s="9"/>
      <c r="S21" s="9"/>
    </row>
    <row r="22" spans="1:19" x14ac:dyDescent="0.2">
      <c r="A22" s="38"/>
      <c r="B22" s="40"/>
      <c r="C22" s="63">
        <v>2015</v>
      </c>
      <c r="D22" s="236">
        <v>0.95199999999999996</v>
      </c>
      <c r="E22" s="235">
        <v>1.0289999999999999</v>
      </c>
      <c r="F22" s="234">
        <v>1.0609999999999999</v>
      </c>
      <c r="G22" s="37"/>
      <c r="H22" s="37"/>
      <c r="I22" s="37"/>
      <c r="J22" s="37"/>
      <c r="K22" s="36"/>
      <c r="M22" s="9"/>
      <c r="N22" s="9"/>
      <c r="O22" s="9"/>
      <c r="P22" s="9"/>
      <c r="Q22" s="9"/>
      <c r="R22" s="9"/>
      <c r="S22" s="9"/>
    </row>
    <row r="23" spans="1:19" x14ac:dyDescent="0.2">
      <c r="A23" s="38"/>
      <c r="B23" s="40"/>
      <c r="C23" s="59">
        <v>2016</v>
      </c>
      <c r="D23" s="233">
        <v>0.98199999999999998</v>
      </c>
      <c r="E23" s="232">
        <v>1.03</v>
      </c>
      <c r="F23" s="231"/>
      <c r="G23" s="37"/>
      <c r="H23" s="37"/>
      <c r="I23" s="37"/>
      <c r="J23" s="37"/>
      <c r="K23" s="36"/>
      <c r="M23" s="24" t="s">
        <v>21</v>
      </c>
      <c r="P23" s="114"/>
      <c r="Q23" s="114"/>
      <c r="R23" s="114"/>
      <c r="S23" s="5"/>
    </row>
    <row r="24" spans="1:19" ht="17" x14ac:dyDescent="0.2">
      <c r="A24" s="38"/>
      <c r="B24" s="40"/>
      <c r="C24" s="55">
        <v>2017</v>
      </c>
      <c r="D24" s="230">
        <v>0.99099999999999999</v>
      </c>
      <c r="E24" s="229"/>
      <c r="F24" s="228"/>
      <c r="G24" s="37"/>
      <c r="H24" s="37"/>
      <c r="I24" s="37"/>
      <c r="J24" s="37"/>
      <c r="K24" s="36"/>
      <c r="M24" s="16" t="s">
        <v>17</v>
      </c>
      <c r="N24" s="112" t="s">
        <v>113</v>
      </c>
      <c r="O24" s="111" t="s">
        <v>112</v>
      </c>
      <c r="P24" s="111" t="s">
        <v>111</v>
      </c>
      <c r="Q24" s="114"/>
      <c r="R24" s="114"/>
      <c r="S24" s="5"/>
    </row>
    <row r="25" spans="1:19" x14ac:dyDescent="0.2">
      <c r="A25" s="38"/>
      <c r="B25" s="40"/>
      <c r="C25" s="40"/>
      <c r="D25" s="49"/>
      <c r="E25" s="40"/>
      <c r="F25" s="40"/>
      <c r="G25" s="40"/>
      <c r="H25" s="37"/>
      <c r="I25" s="37"/>
      <c r="J25" s="37"/>
      <c r="K25" s="36"/>
      <c r="M25" s="11">
        <f>M18</f>
        <v>2015</v>
      </c>
      <c r="N25" s="108">
        <f>O18/N18</f>
        <v>1.0756302521008403</v>
      </c>
      <c r="O25" s="108">
        <f>P18/O18</f>
        <v>1.0055803571428572</v>
      </c>
      <c r="P25" s="108">
        <f>Q18/P18</f>
        <v>1.0169811320754718</v>
      </c>
      <c r="Q25" s="114"/>
      <c r="R25" s="114"/>
      <c r="S25" s="5"/>
    </row>
    <row r="26" spans="1:19" x14ac:dyDescent="0.2">
      <c r="A26" s="38"/>
      <c r="B26" s="40"/>
      <c r="C26" s="165">
        <v>700000</v>
      </c>
      <c r="D26" s="227" t="s">
        <v>434</v>
      </c>
      <c r="E26" s="226"/>
      <c r="F26" s="226"/>
      <c r="G26" s="225"/>
      <c r="H26" s="37"/>
      <c r="I26" s="37"/>
      <c r="J26" s="37"/>
      <c r="K26" s="36"/>
      <c r="M26" s="11">
        <f>M19</f>
        <v>2016</v>
      </c>
      <c r="N26" s="108">
        <f>O19/N19</f>
        <v>1.040903540903541</v>
      </c>
      <c r="O26" s="108">
        <f>P19/O19</f>
        <v>1.0095149686702252</v>
      </c>
      <c r="P26" s="108"/>
      <c r="Q26" s="108"/>
      <c r="R26" s="108"/>
      <c r="S26" s="5"/>
    </row>
    <row r="27" spans="1:19" x14ac:dyDescent="0.2">
      <c r="A27" s="38"/>
      <c r="B27" s="40"/>
      <c r="C27" s="40"/>
      <c r="D27" s="49"/>
      <c r="E27" s="40"/>
      <c r="F27" s="40"/>
      <c r="G27" s="40"/>
      <c r="H27" s="37"/>
      <c r="I27" s="37"/>
      <c r="J27" s="37"/>
      <c r="K27" s="36"/>
      <c r="M27" s="11">
        <f>M20</f>
        <v>2017</v>
      </c>
      <c r="N27" s="108">
        <f>O20/N20</f>
        <v>1.0404326923076923</v>
      </c>
    </row>
    <row r="28" spans="1:19" x14ac:dyDescent="0.2">
      <c r="A28" s="38"/>
      <c r="B28" s="40"/>
      <c r="C28" s="37" t="s">
        <v>433</v>
      </c>
      <c r="D28" s="37"/>
      <c r="E28" s="37"/>
      <c r="F28" s="37"/>
      <c r="G28" s="37"/>
      <c r="H28" s="37"/>
      <c r="I28" s="37"/>
      <c r="J28" s="37"/>
      <c r="K28" s="36"/>
    </row>
    <row r="29" spans="1:19" ht="17" x14ac:dyDescent="0.2">
      <c r="A29" s="38"/>
      <c r="B29" s="40"/>
      <c r="C29" s="37"/>
      <c r="D29" s="37"/>
      <c r="E29" s="37"/>
      <c r="F29" s="37"/>
      <c r="G29" s="37"/>
      <c r="H29" s="37"/>
      <c r="I29" s="37"/>
      <c r="J29" s="37"/>
      <c r="K29" s="36"/>
      <c r="M29" s="16"/>
      <c r="N29" s="112" t="s">
        <v>113</v>
      </c>
      <c r="O29" s="111" t="s">
        <v>112</v>
      </c>
      <c r="P29" s="111" t="s">
        <v>432</v>
      </c>
      <c r="R29" s="1"/>
      <c r="S29" s="1"/>
    </row>
    <row r="30" spans="1:19" x14ac:dyDescent="0.2">
      <c r="A30" s="38" t="s">
        <v>40</v>
      </c>
      <c r="B30" s="39" t="s">
        <v>331</v>
      </c>
      <c r="C30" s="37" t="s">
        <v>431</v>
      </c>
      <c r="D30" s="37"/>
      <c r="E30" s="37"/>
      <c r="F30" s="37"/>
      <c r="G30" s="37"/>
      <c r="H30" s="37"/>
      <c r="I30" s="37"/>
      <c r="J30" s="37"/>
      <c r="K30" s="36"/>
      <c r="M30" s="110" t="s">
        <v>109</v>
      </c>
      <c r="N30" s="108">
        <f>AVERAGE(N25:N27)</f>
        <v>1.0523221617706913</v>
      </c>
      <c r="O30" s="108">
        <f>AVERAGE(O25:O27)</f>
        <v>1.0075476629065412</v>
      </c>
      <c r="P30" s="108">
        <f>AVERAGE(P25:P27)</f>
        <v>1.0169811320754718</v>
      </c>
      <c r="R30" s="1"/>
      <c r="S30" s="1"/>
    </row>
    <row r="31" spans="1:19" x14ac:dyDescent="0.2">
      <c r="A31" s="38"/>
      <c r="B31" s="40"/>
      <c r="C31" s="37"/>
      <c r="D31" s="37"/>
      <c r="E31" s="37"/>
      <c r="F31" s="37"/>
      <c r="G31" s="37"/>
      <c r="H31" s="37"/>
      <c r="I31" s="37"/>
      <c r="J31" s="37"/>
      <c r="K31" s="36"/>
      <c r="M31" s="110" t="s">
        <v>104</v>
      </c>
      <c r="N31" s="109">
        <f>N30*O31</f>
        <v>1.0782692302120105</v>
      </c>
      <c r="O31" s="109">
        <f>O30*P31</f>
        <v>1.02465696284269</v>
      </c>
      <c r="P31" s="109">
        <f>P30</f>
        <v>1.0169811320754718</v>
      </c>
      <c r="R31" s="1"/>
      <c r="S31" s="1"/>
    </row>
    <row r="32" spans="1:19" x14ac:dyDescent="0.2">
      <c r="A32" s="38" t="s">
        <v>36</v>
      </c>
      <c r="B32" s="37" t="s">
        <v>430</v>
      </c>
      <c r="C32" s="37" t="s">
        <v>429</v>
      </c>
      <c r="D32" s="37"/>
      <c r="E32" s="37"/>
      <c r="F32" s="37"/>
      <c r="G32" s="37"/>
      <c r="H32" s="37"/>
      <c r="I32" s="37"/>
      <c r="J32" s="37"/>
      <c r="K32" s="36"/>
      <c r="M32" s="5"/>
      <c r="N32" s="5"/>
      <c r="O32" s="5"/>
      <c r="P32" s="5"/>
      <c r="Q32" s="5"/>
      <c r="R32" s="5"/>
      <c r="S32" s="5"/>
    </row>
    <row r="33" spans="1:19" x14ac:dyDescent="0.2">
      <c r="A33" s="38"/>
      <c r="B33" s="37"/>
      <c r="C33" s="91" t="s">
        <v>428</v>
      </c>
      <c r="D33" s="37"/>
      <c r="E33" s="37"/>
      <c r="F33" s="37"/>
      <c r="G33" s="37"/>
      <c r="H33" s="37"/>
      <c r="I33" s="37"/>
      <c r="J33" s="37"/>
      <c r="K33" s="36"/>
      <c r="M33" s="64" t="s">
        <v>427</v>
      </c>
      <c r="N33" s="64"/>
      <c r="O33" s="64"/>
      <c r="P33" s="224">
        <f>N21*N31</f>
        <v>5463.2307664075197</v>
      </c>
      <c r="Q33" s="5"/>
      <c r="R33" s="5"/>
      <c r="S33" s="5"/>
    </row>
    <row r="34" spans="1:19" ht="17" thickBot="1" x14ac:dyDescent="0.25">
      <c r="A34" s="38"/>
      <c r="B34" s="37"/>
      <c r="C34" s="91"/>
      <c r="D34" s="37"/>
      <c r="E34" s="37"/>
      <c r="F34" s="37"/>
      <c r="G34" s="37"/>
      <c r="H34" s="37"/>
      <c r="I34" s="37"/>
      <c r="J34" s="37"/>
      <c r="K34" s="36"/>
      <c r="M34" s="5"/>
      <c r="N34" s="5"/>
      <c r="O34" s="5"/>
      <c r="P34" s="5"/>
      <c r="Q34" s="5"/>
      <c r="R34" s="5"/>
      <c r="S34" s="5"/>
    </row>
    <row r="35" spans="1:19" ht="17" thickBot="1" x14ac:dyDescent="0.25">
      <c r="A35" s="35" t="s">
        <v>32</v>
      </c>
      <c r="B35" s="33"/>
      <c r="C35" s="34"/>
      <c r="D35" s="33"/>
      <c r="E35" s="33"/>
      <c r="F35" s="33"/>
      <c r="G35" s="33"/>
      <c r="H35" s="33"/>
      <c r="I35" s="33"/>
      <c r="J35" s="33"/>
      <c r="K35" s="32"/>
      <c r="M35" s="5" t="s">
        <v>101</v>
      </c>
      <c r="N35" s="5"/>
      <c r="O35" s="5"/>
      <c r="P35" s="5"/>
      <c r="Q35" s="5"/>
      <c r="R35" s="5"/>
      <c r="S35" s="5"/>
    </row>
    <row r="36" spans="1:19" x14ac:dyDescent="0.2">
      <c r="M36" s="5"/>
      <c r="N36" s="5"/>
      <c r="O36" s="5"/>
      <c r="P36" s="5"/>
      <c r="Q36" s="5"/>
      <c r="R36" s="5"/>
      <c r="S36" s="5"/>
    </row>
    <row r="37" spans="1:19" x14ac:dyDescent="0.2">
      <c r="M37" s="5" t="s">
        <v>426</v>
      </c>
      <c r="N37" s="5"/>
      <c r="O37" s="5"/>
      <c r="P37" s="5"/>
      <c r="Q37" s="5"/>
      <c r="R37" s="5"/>
      <c r="S37" s="5"/>
    </row>
    <row r="38" spans="1:19" ht="17" thickBot="1" x14ac:dyDescent="0.25">
      <c r="M38" s="5" t="s">
        <v>97</v>
      </c>
      <c r="N38" s="5"/>
      <c r="O38" s="9">
        <f>P11*P33</f>
        <v>2181861.4232505979</v>
      </c>
      <c r="P38" s="5"/>
      <c r="Q38" s="5"/>
      <c r="R38" s="5"/>
      <c r="S38" s="5"/>
    </row>
    <row r="39" spans="1:19" ht="17" thickBot="1" x14ac:dyDescent="0.25">
      <c r="M39" s="105" t="s">
        <v>425</v>
      </c>
      <c r="N39" s="104"/>
      <c r="O39" s="103">
        <f>O38-C26</f>
        <v>1481861.4232505979</v>
      </c>
      <c r="P39" s="5" t="s">
        <v>424</v>
      </c>
      <c r="Q39" s="5"/>
      <c r="R39" s="5"/>
      <c r="S39" s="5"/>
    </row>
    <row r="40" spans="1:19" x14ac:dyDescent="0.2">
      <c r="M40" s="5"/>
      <c r="N40" s="5"/>
      <c r="O40" s="5"/>
      <c r="P40" s="5"/>
      <c r="Q40" s="5"/>
      <c r="R40" s="5"/>
      <c r="S40" s="5"/>
    </row>
    <row r="41" spans="1:19" x14ac:dyDescent="0.2">
      <c r="M41" s="5"/>
      <c r="N41" s="5"/>
      <c r="O41" s="5"/>
      <c r="P41" s="5"/>
      <c r="Q41" s="5"/>
      <c r="R41" s="5"/>
      <c r="S41" s="5"/>
    </row>
    <row r="42" spans="1:19" x14ac:dyDescent="0.2">
      <c r="M42" s="7" t="s">
        <v>11</v>
      </c>
      <c r="N42" s="5"/>
      <c r="O42" s="5"/>
      <c r="P42" s="5"/>
      <c r="Q42" s="5"/>
      <c r="R42" s="5"/>
      <c r="S42" s="5"/>
    </row>
    <row r="43" spans="1:19" x14ac:dyDescent="0.2">
      <c r="M43" s="5" t="s">
        <v>423</v>
      </c>
      <c r="N43" s="5"/>
      <c r="O43" s="5"/>
      <c r="P43" s="5"/>
      <c r="Q43" s="5"/>
      <c r="R43" s="5"/>
      <c r="S43" s="5"/>
    </row>
    <row r="44" spans="1:19" x14ac:dyDescent="0.2">
      <c r="M44" s="5"/>
      <c r="N44" s="5"/>
      <c r="O44" s="5"/>
      <c r="P44" s="5"/>
      <c r="Q44" s="5"/>
      <c r="R44" s="5"/>
      <c r="S44" s="5"/>
    </row>
    <row r="45" spans="1:19" x14ac:dyDescent="0.2">
      <c r="M45" s="5"/>
      <c r="N45" s="5"/>
      <c r="O45" s="5"/>
      <c r="P45" s="5"/>
      <c r="Q45" s="5"/>
      <c r="R45" s="5"/>
      <c r="S45" s="5"/>
    </row>
    <row r="46" spans="1:19" ht="19" x14ac:dyDescent="0.25">
      <c r="M46" s="101" t="s">
        <v>3</v>
      </c>
      <c r="N46" s="5"/>
      <c r="O46" s="5"/>
      <c r="P46" s="5"/>
      <c r="Q46" s="5"/>
      <c r="R46" s="5"/>
      <c r="S46" s="5"/>
    </row>
    <row r="47" spans="1:19" x14ac:dyDescent="0.2">
      <c r="M47" s="256" t="s">
        <v>422</v>
      </c>
      <c r="N47" s="256"/>
      <c r="O47" s="256"/>
      <c r="P47" s="256"/>
      <c r="Q47" s="256"/>
      <c r="R47" s="256"/>
      <c r="S47" s="256"/>
    </row>
    <row r="48" spans="1:19" x14ac:dyDescent="0.2">
      <c r="M48" s="256"/>
      <c r="N48" s="256"/>
      <c r="O48" s="256"/>
      <c r="P48" s="256"/>
      <c r="Q48" s="256"/>
      <c r="R48" s="256"/>
      <c r="S48" s="256"/>
    </row>
    <row r="49" spans="13:19" x14ac:dyDescent="0.2">
      <c r="M49" s="256"/>
      <c r="N49" s="256"/>
      <c r="O49" s="256"/>
      <c r="P49" s="256"/>
      <c r="Q49" s="256"/>
      <c r="R49" s="256"/>
      <c r="S49" s="256"/>
    </row>
    <row r="50" spans="13:19" x14ac:dyDescent="0.2">
      <c r="M50" s="256"/>
      <c r="N50" s="256"/>
      <c r="O50" s="256"/>
      <c r="P50" s="256"/>
      <c r="Q50" s="256"/>
      <c r="R50" s="256"/>
      <c r="S50" s="256"/>
    </row>
    <row r="51" spans="13:19" x14ac:dyDescent="0.2">
      <c r="M51" s="256"/>
      <c r="N51" s="256"/>
      <c r="O51" s="256"/>
      <c r="P51" s="256"/>
      <c r="Q51" s="256"/>
      <c r="R51" s="256"/>
      <c r="S51" s="256"/>
    </row>
    <row r="52" spans="13:19" x14ac:dyDescent="0.2">
      <c r="M52" s="5"/>
      <c r="N52" s="5"/>
      <c r="O52" s="5"/>
      <c r="P52" s="5"/>
      <c r="Q52" s="5"/>
      <c r="R52" s="5"/>
      <c r="S52" s="5"/>
    </row>
    <row r="53" spans="13:19" ht="19" x14ac:dyDescent="0.25">
      <c r="M53" s="101" t="s">
        <v>1</v>
      </c>
      <c r="N53" s="5"/>
      <c r="O53" s="5"/>
      <c r="P53" s="5"/>
      <c r="Q53" s="5"/>
      <c r="R53" s="5"/>
      <c r="S53" s="5"/>
    </row>
    <row r="54" spans="13:19" x14ac:dyDescent="0.2">
      <c r="M54" s="5" t="s">
        <v>95</v>
      </c>
      <c r="N54" s="5"/>
      <c r="O54" s="5"/>
      <c r="P54" s="5"/>
      <c r="Q54" s="5"/>
      <c r="R54" s="5"/>
      <c r="S54" s="5"/>
    </row>
    <row r="55" spans="13:19" x14ac:dyDescent="0.2">
      <c r="M55" s="5"/>
      <c r="N55" s="5"/>
      <c r="O55" s="5"/>
      <c r="P55" s="5"/>
      <c r="Q55" s="5"/>
      <c r="R55" s="5"/>
      <c r="S55" s="5"/>
    </row>
    <row r="56" spans="13:19" x14ac:dyDescent="0.2">
      <c r="M56" s="5"/>
      <c r="N56" s="5"/>
      <c r="O56" s="5"/>
      <c r="P56" s="5"/>
      <c r="Q56" s="5"/>
      <c r="R56" s="5"/>
      <c r="S56" s="5"/>
    </row>
    <row r="57" spans="13:19" x14ac:dyDescent="0.2">
      <c r="M57" s="5"/>
      <c r="N57" s="5"/>
      <c r="O57" s="5"/>
      <c r="P57" s="5"/>
      <c r="Q57" s="5"/>
      <c r="R57" s="5"/>
      <c r="S57" s="5"/>
    </row>
    <row r="58" spans="13:19" x14ac:dyDescent="0.2">
      <c r="M58" s="5"/>
      <c r="N58" s="5"/>
      <c r="O58" s="5"/>
      <c r="P58" s="5"/>
      <c r="Q58" s="5"/>
      <c r="R58" s="5"/>
      <c r="S58" s="5"/>
    </row>
    <row r="59" spans="13:19" x14ac:dyDescent="0.2">
      <c r="M59" s="5"/>
      <c r="N59" s="5"/>
      <c r="O59" s="5"/>
      <c r="P59" s="5"/>
      <c r="Q59" s="5"/>
      <c r="R59" s="5"/>
      <c r="S59" s="5"/>
    </row>
    <row r="60" spans="13:19" x14ac:dyDescent="0.2">
      <c r="M60" s="5"/>
      <c r="N60" s="157"/>
      <c r="O60" s="5"/>
      <c r="P60" s="5"/>
      <c r="Q60" s="5"/>
      <c r="R60" s="5"/>
      <c r="S60" s="5"/>
    </row>
    <row r="61" spans="13:19" x14ac:dyDescent="0.2">
      <c r="M61" s="5"/>
      <c r="N61" s="157"/>
      <c r="O61" s="5"/>
      <c r="P61" s="5"/>
      <c r="Q61" s="5"/>
      <c r="R61" s="5"/>
      <c r="S61" s="5"/>
    </row>
    <row r="62" spans="13:19" x14ac:dyDescent="0.2">
      <c r="M62" s="5"/>
      <c r="N62" s="157"/>
      <c r="O62" s="5"/>
      <c r="P62" s="5"/>
      <c r="Q62" s="5"/>
      <c r="R62" s="5"/>
      <c r="S62" s="5"/>
    </row>
    <row r="63" spans="13:19" x14ac:dyDescent="0.2">
      <c r="M63" s="5"/>
      <c r="N63" s="157"/>
      <c r="O63" s="5"/>
      <c r="P63" s="5"/>
      <c r="Q63" s="5"/>
      <c r="R63" s="5"/>
      <c r="S63" s="5"/>
    </row>
    <row r="64" spans="13:19" x14ac:dyDescent="0.2">
      <c r="M64" s="5"/>
      <c r="N64" s="157"/>
      <c r="O64" s="5"/>
      <c r="P64" s="5"/>
      <c r="Q64" s="5"/>
      <c r="R64" s="5"/>
      <c r="S64" s="5"/>
    </row>
    <row r="65" spans="13:19" x14ac:dyDescent="0.2">
      <c r="M65" s="5"/>
      <c r="N65" s="157"/>
      <c r="O65" s="5"/>
      <c r="P65" s="5"/>
      <c r="Q65" s="5"/>
      <c r="R65" s="5"/>
      <c r="S65" s="5"/>
    </row>
    <row r="66" spans="13:19" x14ac:dyDescent="0.2">
      <c r="M66" s="5"/>
      <c r="N66" s="157"/>
      <c r="O66" s="5"/>
      <c r="P66" s="5"/>
      <c r="Q66" s="5"/>
      <c r="R66" s="5"/>
      <c r="S66" s="5"/>
    </row>
    <row r="67" spans="13:19" x14ac:dyDescent="0.2">
      <c r="M67" s="5"/>
      <c r="N67" s="157"/>
      <c r="O67" s="5"/>
      <c r="P67" s="5"/>
      <c r="Q67" s="5"/>
      <c r="R67" s="5"/>
      <c r="S67" s="5"/>
    </row>
    <row r="68" spans="13:19" x14ac:dyDescent="0.2">
      <c r="M68" s="5"/>
      <c r="N68" s="157"/>
      <c r="O68" s="5"/>
      <c r="P68" s="5"/>
      <c r="Q68" s="5"/>
      <c r="R68" s="5"/>
      <c r="S68" s="5"/>
    </row>
    <row r="69" spans="13:19" x14ac:dyDescent="0.2">
      <c r="M69" s="5"/>
      <c r="N69" s="157"/>
      <c r="O69" s="5"/>
      <c r="P69" s="5"/>
      <c r="Q69" s="5"/>
      <c r="R69" s="5"/>
      <c r="S69" s="5"/>
    </row>
    <row r="70" spans="13:19" x14ac:dyDescent="0.2">
      <c r="M70" s="5"/>
      <c r="N70" s="157"/>
      <c r="O70" s="5"/>
      <c r="P70" s="5"/>
      <c r="Q70" s="5"/>
      <c r="R70" s="5"/>
      <c r="S70" s="5"/>
    </row>
    <row r="71" spans="13:19" x14ac:dyDescent="0.2">
      <c r="M71" s="5"/>
      <c r="N71" s="157"/>
      <c r="O71" s="5"/>
      <c r="P71" s="5"/>
      <c r="Q71" s="5"/>
      <c r="R71" s="5"/>
      <c r="S71" s="5"/>
    </row>
    <row r="72" spans="13:19" x14ac:dyDescent="0.2">
      <c r="M72" s="5"/>
      <c r="N72" s="157"/>
      <c r="O72" s="5"/>
      <c r="P72" s="5"/>
      <c r="Q72" s="5"/>
      <c r="R72" s="5"/>
      <c r="S72" s="5"/>
    </row>
    <row r="73" spans="13:19" x14ac:dyDescent="0.2">
      <c r="M73" s="5"/>
      <c r="N73" s="157"/>
      <c r="O73" s="5"/>
      <c r="P73" s="5"/>
      <c r="Q73" s="5"/>
      <c r="R73" s="5"/>
      <c r="S73" s="5"/>
    </row>
    <row r="74" spans="13:19" x14ac:dyDescent="0.2">
      <c r="M74" s="157"/>
      <c r="N74" s="5"/>
      <c r="O74" s="5"/>
      <c r="P74" s="5"/>
      <c r="Q74" s="5"/>
      <c r="R74" s="5"/>
      <c r="S74" s="5"/>
    </row>
    <row r="75" spans="13:19" x14ac:dyDescent="0.2">
      <c r="M75" s="157"/>
      <c r="N75" s="5"/>
      <c r="O75" s="5"/>
      <c r="P75" s="5"/>
      <c r="Q75" s="5"/>
      <c r="R75" s="5"/>
      <c r="S75" s="5"/>
    </row>
    <row r="76" spans="13:19" x14ac:dyDescent="0.2">
      <c r="M76" s="157"/>
      <c r="N76" s="5"/>
      <c r="O76" s="5"/>
      <c r="P76" s="5"/>
      <c r="Q76" s="5"/>
      <c r="R76" s="5"/>
      <c r="S76" s="5"/>
    </row>
    <row r="77" spans="13:19" x14ac:dyDescent="0.2">
      <c r="M77" s="5"/>
      <c r="N77" s="157"/>
      <c r="O77" s="5"/>
      <c r="P77" s="5"/>
      <c r="Q77" s="5"/>
      <c r="R77" s="5"/>
      <c r="S77" s="5"/>
    </row>
    <row r="78" spans="13:19" x14ac:dyDescent="0.2">
      <c r="M78" s="5"/>
      <c r="N78" s="157"/>
      <c r="O78" s="5"/>
      <c r="P78" s="5"/>
      <c r="Q78" s="5"/>
      <c r="R78" s="5"/>
      <c r="S78" s="5"/>
    </row>
    <row r="79" spans="13:19" x14ac:dyDescent="0.2">
      <c r="M79" s="5"/>
      <c r="N79" s="157"/>
      <c r="O79" s="5"/>
      <c r="P79" s="5"/>
      <c r="Q79" s="5"/>
      <c r="R79" s="5"/>
      <c r="S79" s="5"/>
    </row>
    <row r="80" spans="13:19" x14ac:dyDescent="0.2">
      <c r="M80" s="157"/>
      <c r="N80" s="5"/>
      <c r="O80" s="5"/>
      <c r="P80" s="5"/>
      <c r="Q80" s="5"/>
      <c r="R80" s="5"/>
      <c r="S80" s="5"/>
    </row>
    <row r="81" spans="13:19" x14ac:dyDescent="0.2">
      <c r="M81" s="5"/>
      <c r="N81" s="5"/>
      <c r="O81" s="5"/>
      <c r="P81" s="157"/>
      <c r="Q81" s="5"/>
      <c r="R81" s="5"/>
      <c r="S81" s="5"/>
    </row>
    <row r="82" spans="13:19" x14ac:dyDescent="0.2">
      <c r="M82" s="5"/>
      <c r="N82" s="5"/>
      <c r="O82" s="5"/>
      <c r="P82" s="157"/>
      <c r="Q82" s="5"/>
      <c r="R82" s="5"/>
      <c r="S82" s="5"/>
    </row>
    <row r="83" spans="13:19" x14ac:dyDescent="0.2">
      <c r="M83" s="5"/>
      <c r="N83" s="5"/>
      <c r="O83" s="5"/>
      <c r="P83" s="157"/>
      <c r="Q83" s="5"/>
      <c r="R83" s="5"/>
      <c r="S83" s="5"/>
    </row>
    <row r="84" spans="13:19" x14ac:dyDescent="0.2">
      <c r="M84" s="5"/>
      <c r="N84" s="5"/>
      <c r="O84" s="5"/>
      <c r="P84" s="157"/>
      <c r="Q84" s="5"/>
      <c r="R84" s="5"/>
      <c r="S84" s="5"/>
    </row>
    <row r="85" spans="13:19" x14ac:dyDescent="0.2">
      <c r="M85" s="5"/>
      <c r="N85" s="5"/>
      <c r="O85" s="5"/>
      <c r="P85" s="157"/>
      <c r="Q85" s="5"/>
      <c r="R85" s="5"/>
      <c r="S85" s="5"/>
    </row>
    <row r="86" spans="13:19" x14ac:dyDescent="0.2">
      <c r="M86" s="5"/>
      <c r="N86" s="5"/>
      <c r="O86" s="5"/>
      <c r="P86" s="157"/>
      <c r="Q86" s="5"/>
      <c r="R86" s="5"/>
      <c r="S86" s="5"/>
    </row>
    <row r="87" spans="13:19" x14ac:dyDescent="0.2">
      <c r="M87" s="5"/>
      <c r="N87" s="5"/>
      <c r="O87" s="5"/>
      <c r="P87" s="157"/>
      <c r="Q87" s="5"/>
      <c r="R87" s="5"/>
      <c r="S87" s="5"/>
    </row>
    <row r="88" spans="13:19" x14ac:dyDescent="0.2">
      <c r="M88" s="5"/>
      <c r="N88" s="5"/>
      <c r="O88" s="5"/>
      <c r="P88" s="157"/>
      <c r="Q88" s="5"/>
      <c r="R88" s="5"/>
      <c r="S88" s="5"/>
    </row>
    <row r="89" spans="13:19" x14ac:dyDescent="0.2">
      <c r="M89" s="157"/>
      <c r="N89" s="5"/>
      <c r="O89" s="5"/>
      <c r="P89" s="5"/>
      <c r="Q89" s="5"/>
      <c r="R89" s="5"/>
      <c r="S89" s="5"/>
    </row>
  </sheetData>
  <mergeCells count="5">
    <mergeCell ref="M47:S51"/>
    <mergeCell ref="D20:F20"/>
    <mergeCell ref="M15:Q15"/>
    <mergeCell ref="D6:G6"/>
    <mergeCell ref="D13:G13"/>
  </mergeCells>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DF9E-41F4-DD4C-A300-CE59BF14BCB5}">
  <dimension ref="A1:T39"/>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2" width="11" style="1"/>
    <col min="13" max="19" width="10.83203125" style="1" hidden="1" customWidth="1" outlineLevel="1"/>
    <col min="20" max="20" width="11" style="1" collapsed="1"/>
    <col min="21" max="16384" width="11" style="1"/>
  </cols>
  <sheetData>
    <row r="1" spans="1:17" x14ac:dyDescent="0.2">
      <c r="A1" s="71"/>
      <c r="B1" s="70" t="s">
        <v>70</v>
      </c>
      <c r="C1" s="69" t="s">
        <v>441</v>
      </c>
      <c r="D1" s="69" t="s">
        <v>68</v>
      </c>
      <c r="E1" s="69" t="s">
        <v>194</v>
      </c>
      <c r="F1" s="68"/>
      <c r="G1" s="68"/>
      <c r="H1" s="68"/>
      <c r="I1" s="68"/>
      <c r="J1" s="68"/>
      <c r="K1" s="67"/>
      <c r="L1" s="64" t="s">
        <v>66</v>
      </c>
    </row>
    <row r="2" spans="1:17" x14ac:dyDescent="0.2">
      <c r="A2" s="38"/>
      <c r="B2" s="66" t="s">
        <v>65</v>
      </c>
      <c r="C2" s="65">
        <v>2</v>
      </c>
      <c r="D2" s="37"/>
      <c r="E2" s="37"/>
      <c r="F2" s="37"/>
      <c r="G2" s="37"/>
      <c r="H2" s="37"/>
      <c r="I2" s="37"/>
      <c r="J2" s="37"/>
      <c r="K2" s="36"/>
    </row>
    <row r="3" spans="1:17" x14ac:dyDescent="0.2">
      <c r="A3" s="38"/>
      <c r="B3" s="37"/>
      <c r="C3" s="37"/>
      <c r="D3" s="37"/>
      <c r="E3" s="37"/>
      <c r="F3" s="37"/>
      <c r="G3" s="37"/>
      <c r="H3" s="37"/>
      <c r="I3" s="37"/>
      <c r="J3" s="37"/>
      <c r="K3" s="36"/>
      <c r="M3" s="64" t="s">
        <v>64</v>
      </c>
    </row>
    <row r="4" spans="1:17" x14ac:dyDescent="0.2">
      <c r="A4" s="38"/>
      <c r="B4" s="37"/>
      <c r="C4" s="37" t="s">
        <v>450</v>
      </c>
      <c r="D4" s="37"/>
      <c r="E4" s="37"/>
      <c r="F4" s="37"/>
      <c r="G4" s="37"/>
      <c r="H4" s="37"/>
      <c r="I4" s="37"/>
      <c r="J4" s="37"/>
      <c r="K4" s="36"/>
      <c r="M4" s="1" t="s">
        <v>449</v>
      </c>
    </row>
    <row r="5" spans="1:17" x14ac:dyDescent="0.2">
      <c r="A5" s="38"/>
      <c r="B5" s="37"/>
      <c r="C5" s="37"/>
      <c r="D5" s="37"/>
      <c r="E5" s="37"/>
      <c r="F5" s="37"/>
      <c r="G5" s="37"/>
      <c r="H5" s="37"/>
      <c r="I5" s="37"/>
      <c r="J5" s="37"/>
      <c r="K5" s="36"/>
    </row>
    <row r="6" spans="1:17" ht="17" x14ac:dyDescent="0.2">
      <c r="A6" s="38"/>
      <c r="B6" s="37"/>
      <c r="C6" s="263" t="s">
        <v>153</v>
      </c>
      <c r="D6" s="264"/>
      <c r="E6" s="264"/>
      <c r="F6" s="265"/>
      <c r="G6" s="37"/>
      <c r="H6" s="37"/>
      <c r="I6" s="37"/>
      <c r="J6" s="37"/>
      <c r="K6" s="36"/>
      <c r="M6" s="82" t="s">
        <v>21</v>
      </c>
      <c r="N6" s="269" t="s">
        <v>151</v>
      </c>
      <c r="O6" s="270"/>
      <c r="P6" s="270"/>
      <c r="Q6" s="176"/>
    </row>
    <row r="7" spans="1:17" ht="17" x14ac:dyDescent="0.2">
      <c r="A7" s="38"/>
      <c r="B7" s="37"/>
      <c r="C7" s="63" t="s">
        <v>55</v>
      </c>
      <c r="D7" s="62"/>
      <c r="E7" s="146"/>
      <c r="F7" s="62"/>
      <c r="G7" s="37"/>
      <c r="H7" s="37"/>
      <c r="I7" s="37"/>
      <c r="J7" s="37"/>
      <c r="K7" s="36"/>
      <c r="M7" s="80" t="s">
        <v>17</v>
      </c>
      <c r="N7" s="78">
        <f>D8</f>
        <v>72</v>
      </c>
      <c r="O7" s="78">
        <f>E8</f>
        <v>84</v>
      </c>
      <c r="P7" s="78">
        <f>F8</f>
        <v>96</v>
      </c>
    </row>
    <row r="8" spans="1:17" x14ac:dyDescent="0.2">
      <c r="A8" s="38"/>
      <c r="B8" s="37"/>
      <c r="C8" s="55" t="s">
        <v>17</v>
      </c>
      <c r="D8" s="42">
        <v>72</v>
      </c>
      <c r="E8" s="144">
        <v>84</v>
      </c>
      <c r="F8" s="42">
        <v>96</v>
      </c>
      <c r="G8" s="37"/>
      <c r="H8" s="37"/>
      <c r="I8" s="37"/>
      <c r="J8" s="37"/>
      <c r="K8" s="36"/>
      <c r="M8" s="76">
        <f>C9</f>
        <v>2011</v>
      </c>
      <c r="N8" s="85"/>
      <c r="O8" s="85">
        <f>E16*1000/E9</f>
        <v>75308.641975308637</v>
      </c>
      <c r="P8" s="85">
        <f>F16*1000/F9</f>
        <v>184615.38461538462</v>
      </c>
    </row>
    <row r="9" spans="1:17" ht="17" customHeight="1" x14ac:dyDescent="0.2">
      <c r="A9" s="38"/>
      <c r="B9" s="37"/>
      <c r="C9" s="42">
        <v>2011</v>
      </c>
      <c r="D9" s="42">
        <v>141</v>
      </c>
      <c r="E9" s="42">
        <v>81</v>
      </c>
      <c r="F9" s="42">
        <v>13</v>
      </c>
      <c r="G9" s="37"/>
      <c r="H9" s="37"/>
      <c r="I9" s="37"/>
      <c r="J9" s="37"/>
      <c r="K9" s="36"/>
      <c r="M9" s="76">
        <f>C10</f>
        <v>2012</v>
      </c>
      <c r="N9" s="85"/>
      <c r="O9" s="85">
        <f>E17*1000/E10</f>
        <v>63934.426229508194</v>
      </c>
      <c r="P9" s="85"/>
    </row>
    <row r="10" spans="1:17" x14ac:dyDescent="0.2">
      <c r="A10" s="38"/>
      <c r="B10" s="37"/>
      <c r="C10" s="51">
        <v>2012</v>
      </c>
      <c r="D10" s="51">
        <v>145</v>
      </c>
      <c r="E10" s="51">
        <v>61</v>
      </c>
      <c r="F10" s="51"/>
      <c r="G10" s="37"/>
      <c r="H10" s="37"/>
      <c r="I10" s="37"/>
      <c r="J10" s="37"/>
      <c r="K10" s="36"/>
      <c r="M10" s="76">
        <f>C11</f>
        <v>2013</v>
      </c>
      <c r="N10" s="85"/>
      <c r="O10" s="85"/>
      <c r="P10" s="85"/>
    </row>
    <row r="11" spans="1:17" x14ac:dyDescent="0.2">
      <c r="A11" s="38"/>
      <c r="B11" s="37"/>
      <c r="C11" s="51">
        <v>2013</v>
      </c>
      <c r="D11" s="51">
        <v>59</v>
      </c>
      <c r="E11" s="51"/>
      <c r="F11" s="51"/>
      <c r="G11" s="37"/>
      <c r="H11" s="37"/>
      <c r="I11" s="37"/>
      <c r="J11" s="37"/>
      <c r="K11" s="36"/>
      <c r="M11" s="85"/>
      <c r="N11" s="85"/>
      <c r="O11" s="85"/>
      <c r="P11" s="85"/>
    </row>
    <row r="12" spans="1:17" ht="17" x14ac:dyDescent="0.2">
      <c r="A12" s="38"/>
      <c r="B12" s="37"/>
      <c r="C12" s="37"/>
      <c r="D12" s="37"/>
      <c r="E12" s="37"/>
      <c r="F12" s="37"/>
      <c r="G12" s="37"/>
      <c r="H12" s="37"/>
      <c r="I12" s="37"/>
      <c r="J12" s="37"/>
      <c r="K12" s="36"/>
      <c r="M12" s="82" t="s">
        <v>21</v>
      </c>
      <c r="N12" s="272" t="s">
        <v>78</v>
      </c>
      <c r="O12" s="273"/>
      <c r="P12" s="273"/>
      <c r="Q12" s="96"/>
    </row>
    <row r="13" spans="1:17" ht="15.75" customHeight="1" x14ac:dyDescent="0.2">
      <c r="A13" s="38"/>
      <c r="B13" s="40"/>
      <c r="C13" s="277" t="s">
        <v>448</v>
      </c>
      <c r="D13" s="277"/>
      <c r="E13" s="277"/>
      <c r="F13" s="277"/>
      <c r="G13" s="37"/>
      <c r="H13" s="37"/>
      <c r="I13" s="37"/>
      <c r="J13" s="37"/>
      <c r="K13" s="36"/>
      <c r="M13" s="80" t="s">
        <v>17</v>
      </c>
      <c r="N13" s="78">
        <f>N7</f>
        <v>72</v>
      </c>
      <c r="O13" s="78">
        <f>O7</f>
        <v>84</v>
      </c>
      <c r="P13" s="78">
        <f>P7</f>
        <v>96</v>
      </c>
    </row>
    <row r="14" spans="1:17" x14ac:dyDescent="0.2">
      <c r="A14" s="38"/>
      <c r="B14" s="40"/>
      <c r="C14" s="63" t="s">
        <v>55</v>
      </c>
      <c r="D14" s="62"/>
      <c r="E14" s="146"/>
      <c r="F14" s="62"/>
      <c r="G14" s="37"/>
      <c r="H14" s="37"/>
      <c r="I14" s="37"/>
      <c r="J14" s="37"/>
      <c r="K14" s="36"/>
      <c r="M14" s="76">
        <f>M8</f>
        <v>2011</v>
      </c>
      <c r="N14" s="85"/>
      <c r="O14" s="85">
        <f>O8*(1+$C$20)^(2018-$M14)*(1-C21)</f>
        <v>90589.082270096798</v>
      </c>
      <c r="P14" s="85">
        <f>P8*(1+$C$20)^(2018-$M14)*(1-C21)</f>
        <v>222074.62286641641</v>
      </c>
    </row>
    <row r="15" spans="1:17" x14ac:dyDescent="0.2">
      <c r="A15" s="38"/>
      <c r="B15" s="40"/>
      <c r="C15" s="55" t="s">
        <v>17</v>
      </c>
      <c r="D15" s="42">
        <v>72</v>
      </c>
      <c r="E15" s="144">
        <v>84</v>
      </c>
      <c r="F15" s="42">
        <v>96</v>
      </c>
      <c r="G15" s="37"/>
      <c r="H15" s="37"/>
      <c r="I15" s="37"/>
      <c r="J15" s="37"/>
      <c r="K15" s="36"/>
      <c r="M15" s="76">
        <f>M9</f>
        <v>2012</v>
      </c>
      <c r="N15" s="85"/>
      <c r="O15" s="85">
        <f>O9*(1+$C$20)^(2018-$M15)</f>
        <v>90692.205537678718</v>
      </c>
      <c r="P15" s="85"/>
    </row>
    <row r="16" spans="1:17" x14ac:dyDescent="0.2">
      <c r="A16" s="38"/>
      <c r="B16" s="40"/>
      <c r="C16" s="42">
        <v>2011</v>
      </c>
      <c r="D16" s="50">
        <v>7600</v>
      </c>
      <c r="E16" s="50">
        <v>6100</v>
      </c>
      <c r="F16" s="50">
        <v>2400</v>
      </c>
      <c r="G16" s="37"/>
      <c r="H16" s="37"/>
      <c r="I16" s="37"/>
      <c r="J16" s="37"/>
      <c r="K16" s="36"/>
      <c r="M16" s="76">
        <f>M10</f>
        <v>2013</v>
      </c>
      <c r="N16" s="85"/>
      <c r="O16" s="85"/>
      <c r="P16" s="85"/>
    </row>
    <row r="17" spans="1:19" x14ac:dyDescent="0.2">
      <c r="A17" s="38"/>
      <c r="B17" s="40"/>
      <c r="C17" s="51">
        <v>2012</v>
      </c>
      <c r="D17" s="50">
        <v>8800</v>
      </c>
      <c r="E17" s="50">
        <v>3900</v>
      </c>
      <c r="F17" s="51"/>
      <c r="G17" s="37"/>
      <c r="H17" s="37"/>
      <c r="I17" s="37"/>
      <c r="J17" s="37"/>
      <c r="K17" s="36"/>
    </row>
    <row r="18" spans="1:19" x14ac:dyDescent="0.2">
      <c r="A18" s="38"/>
      <c r="B18" s="40"/>
      <c r="C18" s="51">
        <v>2013</v>
      </c>
      <c r="D18" s="50">
        <v>5600</v>
      </c>
      <c r="E18" s="51"/>
      <c r="F18" s="51"/>
      <c r="G18" s="37"/>
      <c r="H18" s="37"/>
      <c r="I18" s="37"/>
      <c r="J18" s="37"/>
      <c r="K18" s="36"/>
      <c r="M18" s="133"/>
      <c r="N18" s="133"/>
      <c r="O18" s="131" t="s">
        <v>142</v>
      </c>
    </row>
    <row r="19" spans="1:19" x14ac:dyDescent="0.2">
      <c r="A19" s="38"/>
      <c r="B19" s="40"/>
      <c r="C19" s="37"/>
      <c r="D19" s="37"/>
      <c r="E19" s="37"/>
      <c r="F19" s="37"/>
      <c r="G19" s="37"/>
      <c r="H19" s="37"/>
      <c r="I19" s="37"/>
      <c r="J19" s="37"/>
      <c r="K19" s="36"/>
      <c r="M19" s="124" t="s">
        <v>139</v>
      </c>
      <c r="N19" s="242"/>
      <c r="O19" s="126">
        <f>SUM(E9:F10)</f>
        <v>155</v>
      </c>
    </row>
    <row r="20" spans="1:19" ht="17" thickBot="1" x14ac:dyDescent="0.25">
      <c r="A20" s="38"/>
      <c r="B20" s="40"/>
      <c r="C20" s="43">
        <v>0.06</v>
      </c>
      <c r="D20" s="294" t="s">
        <v>47</v>
      </c>
      <c r="E20" s="294"/>
      <c r="F20" s="294"/>
      <c r="G20" s="294"/>
      <c r="H20" s="294"/>
      <c r="I20" s="294"/>
      <c r="J20" s="39"/>
      <c r="K20" s="36"/>
      <c r="M20" s="128" t="s">
        <v>137</v>
      </c>
      <c r="N20" s="241"/>
      <c r="O20" s="126">
        <f>SUMPRODUCT(O14:P15,E9:F10)</f>
        <v>15756910.298939656</v>
      </c>
    </row>
    <row r="21" spans="1:19" ht="17" thickBot="1" x14ac:dyDescent="0.25">
      <c r="A21" s="38"/>
      <c r="B21" s="40"/>
      <c r="C21" s="43">
        <v>0.2</v>
      </c>
      <c r="D21" s="297" t="s">
        <v>447</v>
      </c>
      <c r="E21" s="297"/>
      <c r="F21" s="297"/>
      <c r="G21" s="297"/>
      <c r="H21" s="297"/>
      <c r="I21" s="298"/>
      <c r="J21" s="39"/>
      <c r="K21" s="36"/>
      <c r="M21" s="124" t="s">
        <v>136</v>
      </c>
      <c r="N21" s="123"/>
      <c r="O21" s="240">
        <f>O20/O19</f>
        <v>101657.48579961069</v>
      </c>
    </row>
    <row r="22" spans="1:19" x14ac:dyDescent="0.2">
      <c r="A22" s="38"/>
      <c r="B22" s="40"/>
      <c r="C22" s="239"/>
      <c r="D22" s="304" t="s">
        <v>446</v>
      </c>
      <c r="E22" s="299"/>
      <c r="F22" s="299"/>
      <c r="G22" s="299"/>
      <c r="H22" s="299"/>
      <c r="I22" s="300"/>
      <c r="J22" s="39"/>
      <c r="K22" s="36"/>
    </row>
    <row r="23" spans="1:19" x14ac:dyDescent="0.2">
      <c r="A23" s="38"/>
      <c r="B23" s="40"/>
      <c r="C23" s="113"/>
      <c r="D23" s="39"/>
      <c r="E23" s="39"/>
      <c r="F23" s="39"/>
      <c r="G23" s="39"/>
      <c r="H23" s="39"/>
      <c r="I23" s="39"/>
      <c r="J23" s="39"/>
      <c r="K23" s="36"/>
    </row>
    <row r="24" spans="1:19" x14ac:dyDescent="0.2">
      <c r="A24" s="38" t="s">
        <v>40</v>
      </c>
      <c r="B24" s="39" t="s">
        <v>141</v>
      </c>
      <c r="C24" s="137" t="s">
        <v>445</v>
      </c>
      <c r="D24" s="39"/>
      <c r="E24" s="39"/>
      <c r="F24" s="39"/>
      <c r="G24" s="39"/>
      <c r="H24" s="39"/>
      <c r="I24" s="39"/>
      <c r="J24" s="39"/>
      <c r="K24" s="36"/>
      <c r="M24" s="64" t="s">
        <v>11</v>
      </c>
    </row>
    <row r="25" spans="1:19" ht="16" customHeight="1" x14ac:dyDescent="0.2">
      <c r="A25" s="38"/>
      <c r="B25" s="39"/>
      <c r="C25" s="113"/>
      <c r="D25" s="39"/>
      <c r="E25" s="39"/>
      <c r="F25" s="39"/>
      <c r="G25" s="39"/>
      <c r="H25" s="39"/>
      <c r="I25" s="39"/>
      <c r="J25" s="39"/>
      <c r="K25" s="36"/>
      <c r="M25" s="255" t="s">
        <v>444</v>
      </c>
      <c r="N25" s="255"/>
      <c r="O25" s="255"/>
      <c r="P25" s="255"/>
      <c r="Q25" s="255"/>
      <c r="R25" s="255"/>
      <c r="S25" s="255"/>
    </row>
    <row r="26" spans="1:19" x14ac:dyDescent="0.2">
      <c r="A26" s="38" t="s">
        <v>36</v>
      </c>
      <c r="B26" s="39" t="s">
        <v>35</v>
      </c>
      <c r="C26" s="137" t="s">
        <v>443</v>
      </c>
      <c r="D26" s="39"/>
      <c r="E26" s="39"/>
      <c r="F26" s="39"/>
      <c r="G26" s="39"/>
      <c r="H26" s="39"/>
      <c r="I26" s="39"/>
      <c r="J26" s="39"/>
      <c r="K26" s="36"/>
      <c r="M26" s="255"/>
      <c r="N26" s="255"/>
      <c r="O26" s="255"/>
      <c r="P26" s="255"/>
      <c r="Q26" s="255"/>
      <c r="R26" s="255"/>
      <c r="S26" s="255"/>
    </row>
    <row r="27" spans="1:19" ht="17" thickBot="1" x14ac:dyDescent="0.25">
      <c r="A27" s="38"/>
      <c r="B27" s="40"/>
      <c r="C27" s="137"/>
      <c r="D27" s="39"/>
      <c r="E27" s="39"/>
      <c r="F27" s="39"/>
      <c r="G27" s="39"/>
      <c r="H27" s="39"/>
      <c r="I27" s="39"/>
      <c r="J27" s="39"/>
      <c r="K27" s="36"/>
      <c r="M27" s="255"/>
      <c r="N27" s="255"/>
      <c r="O27" s="255"/>
      <c r="P27" s="255"/>
      <c r="Q27" s="255"/>
      <c r="R27" s="255"/>
      <c r="S27" s="255"/>
    </row>
    <row r="28" spans="1:19" ht="17" thickBot="1" x14ac:dyDescent="0.25">
      <c r="A28" s="35" t="s">
        <v>32</v>
      </c>
      <c r="B28" s="33"/>
      <c r="C28" s="34"/>
      <c r="D28" s="33"/>
      <c r="E28" s="33"/>
      <c r="F28" s="33"/>
      <c r="G28" s="33"/>
      <c r="H28" s="33"/>
      <c r="I28" s="33"/>
      <c r="J28" s="33"/>
      <c r="K28" s="32"/>
      <c r="M28" s="255"/>
      <c r="N28" s="255"/>
      <c r="O28" s="255"/>
      <c r="P28" s="255"/>
      <c r="Q28" s="255"/>
      <c r="R28" s="255"/>
      <c r="S28" s="255"/>
    </row>
    <row r="29" spans="1:19" x14ac:dyDescent="0.2">
      <c r="M29" s="255"/>
      <c r="N29" s="255"/>
      <c r="O29" s="255"/>
      <c r="P29" s="255"/>
      <c r="Q29" s="255"/>
      <c r="R29" s="255"/>
      <c r="S29" s="255"/>
    </row>
    <row r="30" spans="1:19" x14ac:dyDescent="0.2">
      <c r="M30" s="255"/>
      <c r="N30" s="255"/>
      <c r="O30" s="255"/>
      <c r="P30" s="255"/>
      <c r="Q30" s="255"/>
      <c r="R30" s="255"/>
      <c r="S30" s="255"/>
    </row>
    <row r="31" spans="1:19" x14ac:dyDescent="0.2">
      <c r="M31" s="255"/>
      <c r="N31" s="255"/>
      <c r="O31" s="255"/>
      <c r="P31" s="255"/>
      <c r="Q31" s="255"/>
      <c r="R31" s="255"/>
      <c r="S31" s="255"/>
    </row>
    <row r="34" spans="13:19" ht="19" x14ac:dyDescent="0.25">
      <c r="M34" s="72" t="s">
        <v>3</v>
      </c>
    </row>
    <row r="35" spans="13:19" x14ac:dyDescent="0.2">
      <c r="M35" s="255" t="s">
        <v>442</v>
      </c>
      <c r="N35" s="255"/>
      <c r="O35" s="255"/>
      <c r="P35" s="255"/>
      <c r="Q35" s="255"/>
      <c r="R35" s="255"/>
      <c r="S35" s="255"/>
    </row>
    <row r="36" spans="13:19" x14ac:dyDescent="0.2">
      <c r="M36" s="255"/>
      <c r="N36" s="255"/>
      <c r="O36" s="255"/>
      <c r="P36" s="255"/>
      <c r="Q36" s="255"/>
      <c r="R36" s="255"/>
      <c r="S36" s="255"/>
    </row>
    <row r="38" spans="13:19" ht="19" x14ac:dyDescent="0.25">
      <c r="M38" s="72" t="s">
        <v>1</v>
      </c>
    </row>
    <row r="39" spans="13:19" x14ac:dyDescent="0.2">
      <c r="M39" s="1" t="s">
        <v>71</v>
      </c>
    </row>
  </sheetData>
  <mergeCells count="9">
    <mergeCell ref="M35:S36"/>
    <mergeCell ref="N6:P6"/>
    <mergeCell ref="N12:P12"/>
    <mergeCell ref="M25:S31"/>
    <mergeCell ref="C6:F6"/>
    <mergeCell ref="C13:F13"/>
    <mergeCell ref="D20:I20"/>
    <mergeCell ref="D21:I21"/>
    <mergeCell ref="D22:I2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21AF-6D47-514B-9D6D-B3FF75DC92A8}">
  <dimension ref="A1:T54"/>
  <sheetViews>
    <sheetView workbookViewId="0">
      <selection activeCell="L7" sqref="L7"/>
    </sheetView>
  </sheetViews>
  <sheetFormatPr baseColWidth="10" defaultColWidth="11" defaultRowHeight="16" outlineLevelCol="1" x14ac:dyDescent="0.2"/>
  <cols>
    <col min="1" max="1" width="4" style="2" customWidth="1"/>
    <col min="2" max="2" width="11.5" style="1" customWidth="1"/>
    <col min="3" max="10" width="10.83203125" style="1" customWidth="1"/>
    <col min="11" max="12" width="11" style="1"/>
    <col min="13" max="17" width="10.83203125" style="1" hidden="1" customWidth="1" outlineLevel="1"/>
    <col min="18" max="18" width="12.33203125" style="1" hidden="1" customWidth="1" outlineLevel="1"/>
    <col min="19" max="19" width="10.83203125" style="1" hidden="1" customWidth="1" outlineLevel="1"/>
    <col min="20" max="20" width="11" style="1" collapsed="1"/>
    <col min="21" max="16384" width="11" style="1"/>
  </cols>
  <sheetData>
    <row r="1" spans="1:19" x14ac:dyDescent="0.2">
      <c r="A1" s="71"/>
      <c r="B1" s="70" t="s">
        <v>70</v>
      </c>
      <c r="C1" s="69" t="s">
        <v>500</v>
      </c>
      <c r="D1" s="69" t="s">
        <v>68</v>
      </c>
      <c r="E1" s="69" t="s">
        <v>268</v>
      </c>
      <c r="F1" s="68"/>
      <c r="G1" s="68"/>
      <c r="H1" s="68"/>
      <c r="I1" s="68"/>
      <c r="J1" s="68"/>
      <c r="K1" s="67"/>
      <c r="L1" s="64" t="s">
        <v>66</v>
      </c>
    </row>
    <row r="2" spans="1:19" x14ac:dyDescent="0.2">
      <c r="A2" s="38"/>
      <c r="B2" s="66" t="s">
        <v>65</v>
      </c>
      <c r="C2" s="65">
        <v>2.75</v>
      </c>
      <c r="D2" s="37"/>
      <c r="E2" s="37"/>
      <c r="F2" s="37"/>
      <c r="G2" s="37"/>
      <c r="H2" s="37"/>
      <c r="I2" s="37"/>
      <c r="J2" s="37"/>
      <c r="K2" s="36"/>
    </row>
    <row r="3" spans="1:19" ht="16" customHeight="1" x14ac:dyDescent="0.2">
      <c r="A3" s="38"/>
      <c r="B3" s="37"/>
      <c r="C3" s="37"/>
      <c r="D3" s="37"/>
      <c r="E3" s="37"/>
      <c r="F3" s="37"/>
      <c r="G3" s="37"/>
      <c r="H3" s="37"/>
      <c r="I3" s="37"/>
      <c r="J3" s="37"/>
      <c r="K3" s="36"/>
      <c r="M3" s="255" t="s">
        <v>499</v>
      </c>
      <c r="N3" s="255"/>
      <c r="O3" s="255"/>
      <c r="P3" s="255"/>
      <c r="Q3" s="255"/>
      <c r="R3" s="255"/>
      <c r="S3" s="255"/>
    </row>
    <row r="4" spans="1:19" x14ac:dyDescent="0.2">
      <c r="A4" s="38"/>
      <c r="B4" s="37"/>
      <c r="C4" s="276" t="s">
        <v>498</v>
      </c>
      <c r="D4" s="276"/>
      <c r="E4" s="276"/>
      <c r="F4" s="276"/>
      <c r="G4" s="276"/>
      <c r="H4" s="276"/>
      <c r="I4" s="276"/>
      <c r="J4" s="276"/>
      <c r="K4" s="36"/>
      <c r="M4" s="255"/>
      <c r="N4" s="255"/>
      <c r="O4" s="255"/>
      <c r="P4" s="255"/>
      <c r="Q4" s="255"/>
      <c r="R4" s="255"/>
      <c r="S4" s="255"/>
    </row>
    <row r="5" spans="1:19" x14ac:dyDescent="0.2">
      <c r="A5" s="38"/>
      <c r="B5" s="37"/>
      <c r="C5" s="276"/>
      <c r="D5" s="276"/>
      <c r="E5" s="276"/>
      <c r="F5" s="276"/>
      <c r="G5" s="276"/>
      <c r="H5" s="276"/>
      <c r="I5" s="276"/>
      <c r="J5" s="276"/>
      <c r="K5" s="36"/>
      <c r="M5" s="255"/>
      <c r="N5" s="255"/>
      <c r="O5" s="255"/>
      <c r="P5" s="255"/>
      <c r="Q5" s="255"/>
      <c r="R5" s="255"/>
      <c r="S5" s="255"/>
    </row>
    <row r="6" spans="1:19" x14ac:dyDescent="0.2">
      <c r="A6" s="38"/>
      <c r="B6" s="37"/>
      <c r="C6" s="276"/>
      <c r="D6" s="276"/>
      <c r="E6" s="276"/>
      <c r="F6" s="276"/>
      <c r="G6" s="276"/>
      <c r="H6" s="276"/>
      <c r="I6" s="276"/>
      <c r="J6" s="276"/>
      <c r="K6" s="36"/>
      <c r="M6" s="255"/>
      <c r="N6" s="255"/>
      <c r="O6" s="255"/>
      <c r="P6" s="255"/>
      <c r="Q6" s="255"/>
      <c r="R6" s="255"/>
      <c r="S6" s="255"/>
    </row>
    <row r="7" spans="1:19" x14ac:dyDescent="0.2">
      <c r="A7" s="38"/>
      <c r="B7" s="37"/>
      <c r="C7" s="37"/>
      <c r="D7" s="37"/>
      <c r="E7" s="37"/>
      <c r="F7" s="37"/>
      <c r="G7" s="37"/>
      <c r="H7" s="37"/>
      <c r="I7" s="37"/>
      <c r="J7" s="37"/>
      <c r="K7" s="36"/>
      <c r="M7" s="118"/>
      <c r="N7" s="118"/>
      <c r="O7" s="118"/>
      <c r="P7" s="118"/>
      <c r="Q7" s="118"/>
      <c r="R7" s="118"/>
      <c r="S7" s="118"/>
    </row>
    <row r="8" spans="1:19" x14ac:dyDescent="0.2">
      <c r="A8" s="38"/>
      <c r="B8" s="37"/>
      <c r="C8" s="37" t="s">
        <v>497</v>
      </c>
      <c r="D8" s="37"/>
      <c r="E8" s="37"/>
      <c r="F8" s="37"/>
      <c r="G8" s="37"/>
      <c r="H8" s="37"/>
      <c r="I8" s="37"/>
      <c r="J8" s="37"/>
      <c r="K8" s="36"/>
      <c r="O8" s="308"/>
      <c r="P8" s="308"/>
      <c r="Q8" s="308" t="s">
        <v>476</v>
      </c>
    </row>
    <row r="9" spans="1:19" x14ac:dyDescent="0.2">
      <c r="A9" s="38"/>
      <c r="B9" s="37"/>
      <c r="C9" s="37"/>
      <c r="D9" s="37"/>
      <c r="E9" s="37"/>
      <c r="F9" s="37"/>
      <c r="G9" s="37"/>
      <c r="H9" s="37"/>
      <c r="I9" s="37"/>
      <c r="J9" s="37"/>
      <c r="K9" s="36"/>
      <c r="O9" s="308" t="s">
        <v>496</v>
      </c>
      <c r="P9" s="308" t="s">
        <v>18</v>
      </c>
      <c r="Q9" s="313" t="s">
        <v>15</v>
      </c>
      <c r="R9" s="1" t="s">
        <v>28</v>
      </c>
    </row>
    <row r="10" spans="1:19" x14ac:dyDescent="0.2">
      <c r="A10" s="38"/>
      <c r="B10" s="37"/>
      <c r="C10" s="62"/>
      <c r="D10" s="146"/>
      <c r="E10" s="259" t="s">
        <v>402</v>
      </c>
      <c r="F10" s="264"/>
      <c r="G10" s="265"/>
      <c r="H10" s="37"/>
      <c r="I10" s="37"/>
      <c r="J10" s="37"/>
      <c r="K10" s="36"/>
      <c r="M10" s="315"/>
      <c r="N10" s="308" t="s">
        <v>494</v>
      </c>
      <c r="O10" s="308" t="s">
        <v>30</v>
      </c>
      <c r="P10" s="308" t="s">
        <v>476</v>
      </c>
      <c r="Q10" s="313" t="s">
        <v>30</v>
      </c>
      <c r="R10" s="308" t="s">
        <v>476</v>
      </c>
    </row>
    <row r="11" spans="1:19" x14ac:dyDescent="0.2">
      <c r="A11" s="38"/>
      <c r="B11" s="37"/>
      <c r="C11" s="58"/>
      <c r="D11" s="40"/>
      <c r="E11" s="62"/>
      <c r="F11" s="325" t="s">
        <v>491</v>
      </c>
      <c r="G11" s="281"/>
      <c r="H11" s="37"/>
      <c r="I11" s="37"/>
      <c r="J11" s="37"/>
      <c r="K11" s="36"/>
      <c r="M11" s="314" t="s">
        <v>475</v>
      </c>
      <c r="N11" s="131" t="s">
        <v>495</v>
      </c>
      <c r="O11" s="131" t="s">
        <v>26</v>
      </c>
      <c r="P11" s="131" t="s">
        <v>53</v>
      </c>
      <c r="Q11" s="314" t="s">
        <v>26</v>
      </c>
      <c r="R11" s="131" t="s">
        <v>15</v>
      </c>
      <c r="S11" s="308"/>
    </row>
    <row r="12" spans="1:19" x14ac:dyDescent="0.2">
      <c r="A12" s="38"/>
      <c r="B12" s="37"/>
      <c r="C12" s="58" t="s">
        <v>21</v>
      </c>
      <c r="D12" s="40" t="s">
        <v>494</v>
      </c>
      <c r="E12" s="328"/>
      <c r="F12" s="325" t="s">
        <v>489</v>
      </c>
      <c r="G12" s="281"/>
      <c r="H12" s="37"/>
      <c r="I12" s="37"/>
      <c r="J12" s="37"/>
      <c r="K12" s="36"/>
      <c r="M12" s="313">
        <v>2011</v>
      </c>
      <c r="N12" s="307">
        <f>D14</f>
        <v>3400</v>
      </c>
      <c r="O12" s="312">
        <f>(1+$F$28)^2</f>
        <v>1.0609</v>
      </c>
      <c r="P12" s="308">
        <f>F14*E24</f>
        <v>330</v>
      </c>
      <c r="Q12" s="311">
        <f>(1+$F$30)^2</f>
        <v>1.1025</v>
      </c>
      <c r="R12" s="218">
        <f>P12*Q12/(N12*O12)</f>
        <v>0.10086469312958475</v>
      </c>
      <c r="S12" s="308"/>
    </row>
    <row r="13" spans="1:19" x14ac:dyDescent="0.2">
      <c r="A13" s="38"/>
      <c r="B13" s="37"/>
      <c r="C13" s="42" t="s">
        <v>17</v>
      </c>
      <c r="D13" s="144" t="s">
        <v>57</v>
      </c>
      <c r="E13" s="42" t="s">
        <v>477</v>
      </c>
      <c r="F13" s="258" t="s">
        <v>487</v>
      </c>
      <c r="G13" s="262"/>
      <c r="H13" s="37"/>
      <c r="I13" s="37"/>
      <c r="J13" s="37"/>
      <c r="K13" s="36"/>
      <c r="M13" s="313">
        <v>2012</v>
      </c>
      <c r="N13" s="307">
        <f>D15</f>
        <v>3500</v>
      </c>
      <c r="O13" s="312">
        <f>(1+$F$28)^1</f>
        <v>1.03</v>
      </c>
      <c r="P13" s="308">
        <f>F15*E25</f>
        <v>350</v>
      </c>
      <c r="Q13" s="311">
        <f>(1+$F$30)^1</f>
        <v>1.05</v>
      </c>
      <c r="R13" s="310">
        <f>P13*Q13/(N13*O13)</f>
        <v>0.10194174757281553</v>
      </c>
      <c r="S13" s="308"/>
    </row>
    <row r="14" spans="1:19" x14ac:dyDescent="0.2">
      <c r="A14" s="38"/>
      <c r="B14" s="37"/>
      <c r="C14" s="62">
        <v>2011</v>
      </c>
      <c r="D14" s="212">
        <v>3400</v>
      </c>
      <c r="E14" s="212">
        <v>1750</v>
      </c>
      <c r="F14" s="278">
        <v>220</v>
      </c>
      <c r="G14" s="278"/>
      <c r="H14" s="37"/>
      <c r="I14" s="37"/>
      <c r="J14" s="37"/>
      <c r="K14" s="36"/>
      <c r="M14" s="308"/>
      <c r="N14" s="308"/>
      <c r="O14" s="308"/>
      <c r="P14" s="308"/>
      <c r="Q14" s="308"/>
      <c r="R14" s="308"/>
      <c r="S14" s="308"/>
    </row>
    <row r="15" spans="1:19" x14ac:dyDescent="0.2">
      <c r="A15" s="38"/>
      <c r="B15" s="40"/>
      <c r="C15" s="58">
        <v>2012</v>
      </c>
      <c r="D15" s="211">
        <v>3500</v>
      </c>
      <c r="E15" s="211">
        <v>1700</v>
      </c>
      <c r="F15" s="327">
        <v>140</v>
      </c>
      <c r="G15" s="327"/>
      <c r="H15" s="37"/>
      <c r="I15" s="37"/>
      <c r="J15" s="37"/>
      <c r="K15" s="36"/>
      <c r="Q15" s="1" t="s">
        <v>473</v>
      </c>
      <c r="R15" s="309">
        <f>AVERAGE(R12:R13)</f>
        <v>0.10140322035120014</v>
      </c>
    </row>
    <row r="16" spans="1:19" x14ac:dyDescent="0.2">
      <c r="A16" s="38"/>
      <c r="B16" s="40"/>
      <c r="C16" s="42">
        <v>2013</v>
      </c>
      <c r="D16" s="53">
        <v>3600</v>
      </c>
      <c r="E16" s="53">
        <v>1500</v>
      </c>
      <c r="F16" s="326">
        <v>90</v>
      </c>
      <c r="G16" s="326"/>
      <c r="H16" s="37"/>
      <c r="I16" s="37"/>
      <c r="J16" s="37"/>
      <c r="K16" s="36"/>
      <c r="R16" s="308"/>
    </row>
    <row r="17" spans="1:19" x14ac:dyDescent="0.2">
      <c r="A17" s="38"/>
      <c r="B17" s="40"/>
      <c r="C17" s="37"/>
      <c r="D17" s="37"/>
      <c r="E17" s="37"/>
      <c r="F17" s="37"/>
      <c r="G17" s="37"/>
      <c r="H17" s="37"/>
      <c r="I17" s="37"/>
      <c r="J17" s="37"/>
      <c r="K17" s="36"/>
      <c r="O17" s="1" t="s">
        <v>472</v>
      </c>
      <c r="R17" s="307">
        <f>E16*D26</f>
        <v>1800</v>
      </c>
    </row>
    <row r="18" spans="1:19" x14ac:dyDescent="0.2">
      <c r="A18" s="38"/>
      <c r="B18" s="40"/>
      <c r="C18" s="63"/>
      <c r="D18" s="259" t="s">
        <v>124</v>
      </c>
      <c r="E18" s="257"/>
      <c r="F18" s="260"/>
      <c r="G18" s="37"/>
      <c r="H18" s="37"/>
      <c r="I18" s="37"/>
      <c r="J18" s="37"/>
      <c r="K18" s="36"/>
      <c r="O18" s="1" t="s">
        <v>471</v>
      </c>
      <c r="R18" s="307">
        <f>D16*R15</f>
        <v>365.0515932643205</v>
      </c>
    </row>
    <row r="19" spans="1:19" ht="17" thickBot="1" x14ac:dyDescent="0.25">
      <c r="A19" s="38"/>
      <c r="B19" s="40"/>
      <c r="C19" s="59"/>
      <c r="D19" s="280" t="s">
        <v>493</v>
      </c>
      <c r="E19" s="325"/>
      <c r="F19" s="281"/>
      <c r="G19" s="37"/>
      <c r="H19" s="37"/>
      <c r="I19" s="37"/>
      <c r="J19" s="37"/>
      <c r="K19" s="36"/>
      <c r="R19" s="307"/>
    </row>
    <row r="20" spans="1:19" ht="17" thickBot="1" x14ac:dyDescent="0.25">
      <c r="A20" s="38"/>
      <c r="B20" s="40"/>
      <c r="C20" s="59"/>
      <c r="D20" s="261" t="s">
        <v>492</v>
      </c>
      <c r="E20" s="258"/>
      <c r="F20" s="262"/>
      <c r="G20" s="37"/>
      <c r="H20" s="37"/>
      <c r="I20" s="37"/>
      <c r="J20" s="37"/>
      <c r="K20" s="36"/>
      <c r="O20" s="161" t="s">
        <v>470</v>
      </c>
      <c r="P20" s="160"/>
      <c r="Q20" s="160"/>
      <c r="R20" s="306">
        <f>R17-R18</f>
        <v>1434.9484067356796</v>
      </c>
    </row>
    <row r="21" spans="1:19" x14ac:dyDescent="0.2">
      <c r="A21" s="38"/>
      <c r="B21" s="40"/>
      <c r="C21" s="59"/>
      <c r="D21" s="62"/>
      <c r="E21" s="325" t="s">
        <v>491</v>
      </c>
      <c r="F21" s="281"/>
      <c r="G21" s="37"/>
      <c r="H21" s="37"/>
      <c r="I21" s="37"/>
      <c r="J21" s="37"/>
      <c r="K21" s="36"/>
    </row>
    <row r="22" spans="1:19" x14ac:dyDescent="0.2">
      <c r="A22" s="38"/>
      <c r="B22" s="40"/>
      <c r="C22" s="59" t="s">
        <v>490</v>
      </c>
      <c r="D22" s="58"/>
      <c r="E22" s="325" t="s">
        <v>489</v>
      </c>
      <c r="F22" s="281"/>
      <c r="G22" s="37"/>
      <c r="H22" s="37"/>
      <c r="I22" s="37"/>
      <c r="J22" s="37"/>
      <c r="K22" s="36"/>
    </row>
    <row r="23" spans="1:19" ht="19" x14ac:dyDescent="0.25">
      <c r="A23" s="38"/>
      <c r="B23" s="40"/>
      <c r="C23" s="55" t="s">
        <v>488</v>
      </c>
      <c r="D23" s="42" t="s">
        <v>477</v>
      </c>
      <c r="E23" s="258" t="s">
        <v>487</v>
      </c>
      <c r="F23" s="262"/>
      <c r="G23" s="37"/>
      <c r="H23" s="37"/>
      <c r="I23" s="37"/>
      <c r="J23" s="37"/>
      <c r="K23" s="36"/>
      <c r="M23" s="72" t="s">
        <v>3</v>
      </c>
    </row>
    <row r="24" spans="1:19" ht="16" customHeight="1" x14ac:dyDescent="0.2">
      <c r="A24" s="38"/>
      <c r="B24" s="40"/>
      <c r="C24" s="62" t="s">
        <v>432</v>
      </c>
      <c r="D24" s="324">
        <v>1</v>
      </c>
      <c r="E24" s="323">
        <v>1.5</v>
      </c>
      <c r="F24" s="323"/>
      <c r="G24" s="37"/>
      <c r="H24" s="37"/>
      <c r="I24" s="37"/>
      <c r="J24" s="37"/>
      <c r="K24" s="36"/>
      <c r="M24" s="319" t="s">
        <v>486</v>
      </c>
      <c r="N24" s="319"/>
      <c r="O24" s="319"/>
      <c r="P24" s="319"/>
      <c r="Q24" s="319"/>
      <c r="R24" s="319"/>
      <c r="S24" s="319"/>
    </row>
    <row r="25" spans="1:19" x14ac:dyDescent="0.2">
      <c r="A25" s="38"/>
      <c r="B25" s="37"/>
      <c r="C25" s="58" t="s">
        <v>485</v>
      </c>
      <c r="D25" s="322">
        <v>1.04</v>
      </c>
      <c r="E25" s="321">
        <v>2.5</v>
      </c>
      <c r="F25" s="321"/>
      <c r="G25" s="37"/>
      <c r="H25" s="37"/>
      <c r="I25" s="37"/>
      <c r="J25" s="37"/>
      <c r="K25" s="36"/>
      <c r="M25" s="319"/>
      <c r="N25" s="319"/>
      <c r="O25" s="319"/>
      <c r="P25" s="319"/>
      <c r="Q25" s="319"/>
      <c r="R25" s="319"/>
      <c r="S25" s="319"/>
    </row>
    <row r="26" spans="1:19" x14ac:dyDescent="0.2">
      <c r="A26" s="38"/>
      <c r="B26" s="37"/>
      <c r="C26" s="145" t="s">
        <v>484</v>
      </c>
      <c r="D26" s="60">
        <v>1.2</v>
      </c>
      <c r="E26" s="282">
        <v>6</v>
      </c>
      <c r="F26" s="282"/>
      <c r="G26" s="37"/>
      <c r="H26" s="37"/>
      <c r="I26" s="37"/>
      <c r="J26" s="37"/>
      <c r="K26" s="36"/>
      <c r="M26" s="319"/>
      <c r="N26" s="319"/>
      <c r="O26" s="319"/>
      <c r="P26" s="319"/>
      <c r="Q26" s="319"/>
      <c r="R26" s="319"/>
      <c r="S26" s="319"/>
    </row>
    <row r="27" spans="1:19" x14ac:dyDescent="0.2">
      <c r="A27" s="38"/>
      <c r="B27" s="37"/>
      <c r="C27" s="317"/>
      <c r="D27" s="37"/>
      <c r="E27" s="37"/>
      <c r="F27" s="37"/>
      <c r="G27" s="37"/>
      <c r="H27" s="37"/>
      <c r="I27" s="37"/>
      <c r="J27" s="37"/>
      <c r="K27" s="36"/>
      <c r="M27" s="319"/>
      <c r="N27" s="319"/>
      <c r="O27" s="319"/>
      <c r="P27" s="319"/>
      <c r="Q27" s="319"/>
      <c r="R27" s="319"/>
      <c r="S27" s="319"/>
    </row>
    <row r="28" spans="1:19" x14ac:dyDescent="0.2">
      <c r="A28" s="38"/>
      <c r="B28" s="37"/>
      <c r="C28" s="320" t="s">
        <v>483</v>
      </c>
      <c r="D28" s="37"/>
      <c r="E28" s="37"/>
      <c r="F28" s="137">
        <v>0.03</v>
      </c>
      <c r="G28" s="37"/>
      <c r="H28" s="37"/>
      <c r="I28" s="37"/>
      <c r="J28" s="37"/>
      <c r="K28" s="36"/>
      <c r="M28" s="319"/>
      <c r="N28" s="319"/>
      <c r="O28" s="319"/>
      <c r="P28" s="319"/>
      <c r="Q28" s="319"/>
      <c r="R28" s="319"/>
      <c r="S28" s="319"/>
    </row>
    <row r="29" spans="1:19" x14ac:dyDescent="0.2">
      <c r="A29" s="38"/>
      <c r="B29" s="37"/>
      <c r="C29" s="320" t="s">
        <v>482</v>
      </c>
      <c r="D29" s="37"/>
      <c r="E29" s="37"/>
      <c r="F29" s="137">
        <v>0.02</v>
      </c>
      <c r="G29" s="37"/>
      <c r="H29" s="37"/>
      <c r="I29" s="37"/>
      <c r="J29" s="37"/>
      <c r="K29" s="36"/>
      <c r="M29" s="319"/>
      <c r="N29" s="319"/>
      <c r="O29" s="319"/>
      <c r="P29" s="319"/>
      <c r="Q29" s="319"/>
      <c r="R29" s="319"/>
      <c r="S29" s="319"/>
    </row>
    <row r="30" spans="1:19" x14ac:dyDescent="0.2">
      <c r="A30" s="38"/>
      <c r="B30" s="37"/>
      <c r="C30" s="320" t="s">
        <v>481</v>
      </c>
      <c r="D30" s="37"/>
      <c r="E30" s="37"/>
      <c r="F30" s="137">
        <v>0.05</v>
      </c>
      <c r="G30" s="37"/>
      <c r="H30" s="37"/>
      <c r="I30" s="37"/>
      <c r="J30" s="37"/>
      <c r="K30" s="36"/>
      <c r="M30" s="319"/>
      <c r="N30" s="319"/>
      <c r="O30" s="319"/>
      <c r="P30" s="319"/>
      <c r="Q30" s="319"/>
      <c r="R30" s="319"/>
      <c r="S30" s="319"/>
    </row>
    <row r="31" spans="1:19" x14ac:dyDescent="0.2">
      <c r="A31" s="38"/>
      <c r="B31" s="37"/>
      <c r="C31" s="320"/>
      <c r="D31" s="37"/>
      <c r="E31" s="37"/>
      <c r="F31" s="137"/>
      <c r="G31" s="37"/>
      <c r="H31" s="37"/>
      <c r="I31" s="37"/>
      <c r="J31" s="37"/>
      <c r="K31" s="36"/>
      <c r="M31" s="319"/>
      <c r="N31" s="319"/>
      <c r="O31" s="319"/>
      <c r="P31" s="319"/>
      <c r="Q31" s="319"/>
      <c r="R31" s="319"/>
      <c r="S31" s="319"/>
    </row>
    <row r="32" spans="1:19" x14ac:dyDescent="0.2">
      <c r="A32" s="38"/>
      <c r="B32" s="37"/>
      <c r="C32" s="318" t="s">
        <v>480</v>
      </c>
      <c r="D32" s="318"/>
      <c r="E32" s="318"/>
      <c r="F32" s="318"/>
      <c r="G32" s="318"/>
      <c r="H32" s="318"/>
      <c r="I32" s="318"/>
      <c r="J32" s="318"/>
      <c r="K32" s="36"/>
      <c r="M32" s="319"/>
      <c r="N32" s="319"/>
      <c r="O32" s="319"/>
      <c r="P32" s="319"/>
      <c r="Q32" s="319"/>
      <c r="R32" s="319"/>
      <c r="S32" s="319"/>
    </row>
    <row r="33" spans="1:19" x14ac:dyDescent="0.2">
      <c r="A33" s="38"/>
      <c r="B33" s="37"/>
      <c r="C33" s="318"/>
      <c r="D33" s="318"/>
      <c r="E33" s="318"/>
      <c r="F33" s="318"/>
      <c r="G33" s="318"/>
      <c r="H33" s="318"/>
      <c r="I33" s="318"/>
      <c r="J33" s="318"/>
      <c r="K33" s="36"/>
    </row>
    <row r="34" spans="1:19" ht="20" thickBot="1" x14ac:dyDescent="0.3">
      <c r="A34" s="38"/>
      <c r="B34" s="37"/>
      <c r="C34" s="317"/>
      <c r="D34" s="37"/>
      <c r="E34" s="37"/>
      <c r="F34" s="37"/>
      <c r="G34" s="37"/>
      <c r="H34" s="37"/>
      <c r="I34" s="37"/>
      <c r="J34" s="37"/>
      <c r="K34" s="36"/>
      <c r="M34" s="316" t="s">
        <v>479</v>
      </c>
    </row>
    <row r="35" spans="1:19" ht="17" thickBot="1" x14ac:dyDescent="0.25">
      <c r="A35" s="35" t="s">
        <v>32</v>
      </c>
      <c r="B35" s="33"/>
      <c r="C35" s="34"/>
      <c r="D35" s="33"/>
      <c r="E35" s="33"/>
      <c r="F35" s="33"/>
      <c r="G35" s="33"/>
      <c r="H35" s="33"/>
      <c r="I35" s="33"/>
      <c r="J35" s="33"/>
      <c r="K35" s="32"/>
      <c r="M35" s="255" t="s">
        <v>478</v>
      </c>
      <c r="N35" s="255"/>
      <c r="O35" s="255"/>
      <c r="P35" s="255"/>
      <c r="Q35" s="255"/>
      <c r="R35" s="255"/>
      <c r="S35" s="255"/>
    </row>
    <row r="36" spans="1:19" x14ac:dyDescent="0.2">
      <c r="M36" s="255"/>
      <c r="N36" s="255"/>
      <c r="O36" s="255"/>
      <c r="P36" s="255"/>
      <c r="Q36" s="255"/>
      <c r="R36" s="255"/>
      <c r="S36" s="255"/>
    </row>
    <row r="37" spans="1:19" x14ac:dyDescent="0.2">
      <c r="M37" s="255"/>
      <c r="N37" s="255"/>
      <c r="O37" s="255"/>
      <c r="P37" s="255"/>
      <c r="Q37" s="255"/>
      <c r="R37" s="255"/>
      <c r="S37" s="255"/>
    </row>
    <row r="39" spans="1:19" x14ac:dyDescent="0.2">
      <c r="O39" s="308"/>
      <c r="P39" s="308"/>
      <c r="Q39" s="308" t="s">
        <v>476</v>
      </c>
    </row>
    <row r="40" spans="1:19" x14ac:dyDescent="0.2">
      <c r="M40" s="315"/>
      <c r="N40" s="308" t="s">
        <v>18</v>
      </c>
      <c r="O40" s="308" t="s">
        <v>15</v>
      </c>
      <c r="P40" s="308" t="s">
        <v>18</v>
      </c>
      <c r="Q40" s="313" t="s">
        <v>15</v>
      </c>
      <c r="R40" s="308" t="s">
        <v>28</v>
      </c>
    </row>
    <row r="41" spans="1:19" x14ac:dyDescent="0.2">
      <c r="M41" s="315"/>
      <c r="N41" s="308" t="s">
        <v>477</v>
      </c>
      <c r="O41" s="308" t="s">
        <v>30</v>
      </c>
      <c r="P41" s="308" t="s">
        <v>476</v>
      </c>
      <c r="Q41" s="313" t="s">
        <v>30</v>
      </c>
      <c r="R41" s="308" t="s">
        <v>476</v>
      </c>
    </row>
    <row r="42" spans="1:19" x14ac:dyDescent="0.2">
      <c r="M42" s="314" t="s">
        <v>475</v>
      </c>
      <c r="N42" s="131" t="s">
        <v>53</v>
      </c>
      <c r="O42" s="131" t="s">
        <v>26</v>
      </c>
      <c r="P42" s="131" t="s">
        <v>53</v>
      </c>
      <c r="Q42" s="314" t="s">
        <v>26</v>
      </c>
      <c r="R42" s="131" t="s">
        <v>474</v>
      </c>
    </row>
    <row r="43" spans="1:19" x14ac:dyDescent="0.2">
      <c r="M43" s="313">
        <v>2011</v>
      </c>
      <c r="N43" s="308">
        <f>E14*D24</f>
        <v>1750</v>
      </c>
      <c r="O43" s="312">
        <f>(1+$F$29)^2</f>
        <v>1.0404</v>
      </c>
      <c r="P43" s="308">
        <f>F14*E24</f>
        <v>330</v>
      </c>
      <c r="Q43" s="311">
        <f>(1+$F$30)^2</f>
        <v>1.1025</v>
      </c>
      <c r="R43" s="218">
        <f>P43*Q43/(N43*O43)</f>
        <v>0.19982698961937714</v>
      </c>
    </row>
    <row r="44" spans="1:19" x14ac:dyDescent="0.2">
      <c r="M44" s="313">
        <v>2012</v>
      </c>
      <c r="N44" s="308">
        <f>E15*D25</f>
        <v>1768</v>
      </c>
      <c r="O44" s="312">
        <f>(1+$F$29)^1</f>
        <v>1.02</v>
      </c>
      <c r="P44" s="308">
        <f>F15*E25</f>
        <v>350</v>
      </c>
      <c r="Q44" s="311">
        <f>(1+$F$30)^1</f>
        <v>1.05</v>
      </c>
      <c r="R44" s="310">
        <f>P44*Q44/(N44*O44)</f>
        <v>0.2037862656374767</v>
      </c>
    </row>
    <row r="45" spans="1:19" x14ac:dyDescent="0.2">
      <c r="M45" s="308"/>
      <c r="N45" s="308"/>
      <c r="O45" s="308"/>
      <c r="P45" s="308"/>
      <c r="Q45" s="308"/>
      <c r="R45" s="308"/>
    </row>
    <row r="46" spans="1:19" x14ac:dyDescent="0.2">
      <c r="Q46" s="1" t="s">
        <v>473</v>
      </c>
      <c r="R46" s="309">
        <f>AVERAGE(R43:R44)</f>
        <v>0.20180662762842694</v>
      </c>
    </row>
    <row r="47" spans="1:19" x14ac:dyDescent="0.2">
      <c r="R47" s="308"/>
    </row>
    <row r="48" spans="1:19" x14ac:dyDescent="0.2">
      <c r="O48" s="1" t="s">
        <v>472</v>
      </c>
      <c r="R48" s="307">
        <f>E16*D26</f>
        <v>1800</v>
      </c>
    </row>
    <row r="49" spans="13:18" x14ac:dyDescent="0.2">
      <c r="O49" s="1" t="s">
        <v>471</v>
      </c>
      <c r="R49" s="307">
        <f>R46*R48</f>
        <v>363.2519297311685</v>
      </c>
    </row>
    <row r="50" spans="13:18" ht="17" thickBot="1" x14ac:dyDescent="0.25">
      <c r="R50" s="307"/>
    </row>
    <row r="51" spans="13:18" ht="17" thickBot="1" x14ac:dyDescent="0.25">
      <c r="O51" s="161" t="s">
        <v>470</v>
      </c>
      <c r="P51" s="160"/>
      <c r="Q51" s="160"/>
      <c r="R51" s="306">
        <f>R48-R49</f>
        <v>1436.7480702688315</v>
      </c>
    </row>
    <row r="53" spans="13:18" ht="19" x14ac:dyDescent="0.25">
      <c r="M53" s="72" t="s">
        <v>1</v>
      </c>
    </row>
    <row r="54" spans="13:18" x14ac:dyDescent="0.2">
      <c r="M54" s="1" t="s">
        <v>0</v>
      </c>
    </row>
  </sheetData>
  <mergeCells count="21">
    <mergeCell ref="E23:F23"/>
    <mergeCell ref="F15:G15"/>
    <mergeCell ref="F16:G16"/>
    <mergeCell ref="E10:G10"/>
    <mergeCell ref="E21:F21"/>
    <mergeCell ref="C32:J33"/>
    <mergeCell ref="M3:S6"/>
    <mergeCell ref="M35:S37"/>
    <mergeCell ref="M24:S32"/>
    <mergeCell ref="E24:F24"/>
    <mergeCell ref="E25:F25"/>
    <mergeCell ref="E26:F26"/>
    <mergeCell ref="D18:F18"/>
    <mergeCell ref="D19:F19"/>
    <mergeCell ref="D20:F20"/>
    <mergeCell ref="E22:F22"/>
    <mergeCell ref="F11:G11"/>
    <mergeCell ref="F12:G12"/>
    <mergeCell ref="F13:G13"/>
    <mergeCell ref="F14:G14"/>
    <mergeCell ref="C4:J6"/>
  </mergeCells>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1876-39DF-894E-91B9-D87BF086E50A}">
  <dimension ref="A1:S52"/>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8" width="11.1640625" style="1" customWidth="1"/>
    <col min="9" max="11" width="11" style="1"/>
    <col min="12" max="18" width="10.83203125" style="1" hidden="1" customWidth="1" outlineLevel="1"/>
    <col min="19" max="19" width="10.83203125" style="1" customWidth="1" collapsed="1"/>
    <col min="20" max="22" width="10.83203125" style="1" customWidth="1"/>
    <col min="23" max="16384" width="11" style="1"/>
  </cols>
  <sheetData>
    <row r="1" spans="1:18" x14ac:dyDescent="0.2">
      <c r="A1" s="71"/>
      <c r="B1" s="70" t="s">
        <v>70</v>
      </c>
      <c r="C1" s="69" t="s">
        <v>469</v>
      </c>
      <c r="D1" s="69" t="s">
        <v>68</v>
      </c>
      <c r="E1" s="69" t="s">
        <v>194</v>
      </c>
      <c r="F1" s="68"/>
      <c r="G1" s="68"/>
      <c r="H1" s="68"/>
      <c r="I1" s="68"/>
      <c r="J1" s="67"/>
      <c r="K1" s="64" t="s">
        <v>66</v>
      </c>
    </row>
    <row r="2" spans="1:18" x14ac:dyDescent="0.2">
      <c r="A2" s="38"/>
      <c r="B2" s="66" t="s">
        <v>65</v>
      </c>
      <c r="C2" s="65">
        <v>2.75</v>
      </c>
      <c r="D2" s="37"/>
      <c r="E2" s="37"/>
      <c r="F2" s="37"/>
      <c r="G2" s="37"/>
      <c r="H2" s="37"/>
      <c r="I2" s="37"/>
      <c r="J2" s="36"/>
    </row>
    <row r="3" spans="1:18" x14ac:dyDescent="0.2">
      <c r="A3" s="38"/>
      <c r="B3" s="37"/>
      <c r="C3" s="37"/>
      <c r="D3" s="37"/>
      <c r="E3" s="37"/>
      <c r="F3" s="37"/>
      <c r="G3" s="37"/>
      <c r="H3" s="37"/>
      <c r="I3" s="37"/>
      <c r="J3" s="36"/>
      <c r="L3" s="64" t="s">
        <v>64</v>
      </c>
    </row>
    <row r="4" spans="1:18" x14ac:dyDescent="0.2">
      <c r="A4" s="38"/>
      <c r="B4" s="37"/>
      <c r="C4" s="37" t="s">
        <v>468</v>
      </c>
      <c r="D4" s="37"/>
      <c r="E4" s="37"/>
      <c r="F4" s="37"/>
      <c r="G4" s="37"/>
      <c r="H4" s="37"/>
      <c r="I4" s="37"/>
      <c r="J4" s="36"/>
      <c r="L4" s="5"/>
      <c r="M4" s="5"/>
      <c r="N4" s="5"/>
      <c r="O4" s="5"/>
      <c r="P4" s="5"/>
      <c r="Q4" s="5"/>
      <c r="R4" s="5"/>
    </row>
    <row r="5" spans="1:18" ht="17" x14ac:dyDescent="0.2">
      <c r="A5" s="38"/>
      <c r="B5" s="37"/>
      <c r="C5" s="37"/>
      <c r="D5" s="37"/>
      <c r="E5" s="37"/>
      <c r="F5" s="37"/>
      <c r="G5" s="37"/>
      <c r="H5" s="37"/>
      <c r="I5" s="37"/>
      <c r="J5" s="36"/>
      <c r="L5" s="82" t="s">
        <v>21</v>
      </c>
      <c r="M5" s="275" t="s">
        <v>88</v>
      </c>
      <c r="N5" s="266"/>
      <c r="O5" s="266"/>
      <c r="P5" s="266"/>
      <c r="Q5" s="5"/>
      <c r="R5" s="5"/>
    </row>
    <row r="6" spans="1:18" ht="16.5" customHeight="1" x14ac:dyDescent="0.2">
      <c r="A6" s="38"/>
      <c r="B6" s="37"/>
      <c r="C6" s="289" t="s">
        <v>87</v>
      </c>
      <c r="D6" s="263" t="s">
        <v>467</v>
      </c>
      <c r="E6" s="264"/>
      <c r="F6" s="264"/>
      <c r="G6" s="265"/>
      <c r="H6" s="62" t="s">
        <v>18</v>
      </c>
      <c r="I6" s="37"/>
      <c r="J6" s="36"/>
      <c r="L6" s="80" t="s">
        <v>17</v>
      </c>
      <c r="M6" s="78">
        <v>12</v>
      </c>
      <c r="N6" s="78">
        <v>24</v>
      </c>
      <c r="O6" s="78">
        <v>36</v>
      </c>
      <c r="P6" s="78">
        <v>48</v>
      </c>
      <c r="Q6" s="5"/>
      <c r="R6" s="5"/>
    </row>
    <row r="7" spans="1:18" x14ac:dyDescent="0.2">
      <c r="A7" s="38"/>
      <c r="B7" s="37"/>
      <c r="C7" s="290"/>
      <c r="D7" s="51">
        <v>12</v>
      </c>
      <c r="E7" s="51">
        <v>24</v>
      </c>
      <c r="F7" s="51">
        <v>36</v>
      </c>
      <c r="G7" s="51">
        <v>48</v>
      </c>
      <c r="H7" s="42" t="s">
        <v>466</v>
      </c>
      <c r="I7" s="37"/>
      <c r="J7" s="36"/>
      <c r="L7" s="246">
        <f>C8</f>
        <v>2015</v>
      </c>
      <c r="M7" s="254">
        <f>D8/$H8</f>
        <v>0.47604327666151469</v>
      </c>
      <c r="N7" s="254">
        <f>E8/$H8</f>
        <v>0.85780525502318394</v>
      </c>
      <c r="O7" s="254">
        <f>F8/$H8</f>
        <v>0.99227202472952092</v>
      </c>
      <c r="P7" s="254">
        <f>G8/$H8</f>
        <v>1</v>
      </c>
      <c r="Q7" s="5"/>
      <c r="R7" s="5"/>
    </row>
    <row r="8" spans="1:18" x14ac:dyDescent="0.2">
      <c r="A8" s="38"/>
      <c r="B8" s="37"/>
      <c r="C8" s="51">
        <v>2015</v>
      </c>
      <c r="D8" s="51">
        <v>308</v>
      </c>
      <c r="E8" s="51">
        <v>555</v>
      </c>
      <c r="F8" s="51">
        <v>642</v>
      </c>
      <c r="G8" s="51">
        <v>647</v>
      </c>
      <c r="H8" s="51">
        <v>647</v>
      </c>
      <c r="I8" s="37"/>
      <c r="J8" s="36"/>
      <c r="L8" s="246">
        <f>C9</f>
        <v>2016</v>
      </c>
      <c r="M8" s="254">
        <f>D9/$H9</f>
        <v>0.52122986822840411</v>
      </c>
      <c r="N8" s="254">
        <f>E9/$H9</f>
        <v>0.82430453879941434</v>
      </c>
      <c r="O8" s="254">
        <f>F9/$H9</f>
        <v>0.9926793557833089</v>
      </c>
      <c r="P8" s="254"/>
      <c r="Q8" s="5"/>
      <c r="R8" s="5"/>
    </row>
    <row r="9" spans="1:18" x14ac:dyDescent="0.2">
      <c r="A9" s="38"/>
      <c r="B9" s="37"/>
      <c r="C9" s="51">
        <v>2016</v>
      </c>
      <c r="D9" s="51">
        <v>356</v>
      </c>
      <c r="E9" s="51">
        <v>563</v>
      </c>
      <c r="F9" s="51">
        <v>678</v>
      </c>
      <c r="G9" s="51"/>
      <c r="H9" s="51">
        <v>683</v>
      </c>
      <c r="I9" s="37"/>
      <c r="J9" s="36"/>
      <c r="L9" s="246">
        <f>C10</f>
        <v>2017</v>
      </c>
      <c r="M9" s="254">
        <f>D10/$H10</f>
        <v>0.52339181286549707</v>
      </c>
      <c r="N9" s="254">
        <f>E10/$H10</f>
        <v>0.84064327485380119</v>
      </c>
      <c r="O9" s="254"/>
      <c r="P9" s="254"/>
      <c r="Q9" s="5"/>
      <c r="R9" s="5"/>
    </row>
    <row r="10" spans="1:18" x14ac:dyDescent="0.2">
      <c r="A10" s="38"/>
      <c r="B10" s="37"/>
      <c r="C10" s="51">
        <v>2017</v>
      </c>
      <c r="D10" s="51">
        <v>358</v>
      </c>
      <c r="E10" s="51">
        <v>575</v>
      </c>
      <c r="F10" s="51"/>
      <c r="G10" s="51"/>
      <c r="H10" s="51">
        <v>684</v>
      </c>
      <c r="I10" s="37"/>
      <c r="J10" s="36"/>
      <c r="L10" s="246">
        <f>C11</f>
        <v>2018</v>
      </c>
      <c r="M10" s="254">
        <f>D11/$H11</f>
        <v>0.50566037735849056</v>
      </c>
      <c r="N10" s="5"/>
      <c r="O10" s="5"/>
      <c r="P10" s="5"/>
      <c r="Q10" s="5"/>
      <c r="R10" s="5"/>
    </row>
    <row r="11" spans="1:18" x14ac:dyDescent="0.2">
      <c r="A11" s="38"/>
      <c r="B11" s="37"/>
      <c r="C11" s="51">
        <v>2018</v>
      </c>
      <c r="D11" s="51">
        <v>402</v>
      </c>
      <c r="E11" s="51"/>
      <c r="F11" s="51"/>
      <c r="G11" s="51"/>
      <c r="H11" s="51">
        <v>795</v>
      </c>
      <c r="I11" s="37"/>
      <c r="J11" s="36"/>
      <c r="L11" s="5"/>
      <c r="M11" s="5"/>
      <c r="N11" s="5"/>
      <c r="O11" s="5"/>
      <c r="P11" s="5"/>
      <c r="Q11" s="5"/>
      <c r="R11" s="5"/>
    </row>
    <row r="12" spans="1:18" x14ac:dyDescent="0.2">
      <c r="A12" s="38"/>
      <c r="B12" s="37"/>
      <c r="C12" s="37"/>
      <c r="D12" s="37"/>
      <c r="E12" s="37"/>
      <c r="F12" s="37"/>
      <c r="G12" s="37"/>
      <c r="H12" s="37"/>
      <c r="I12" s="37"/>
      <c r="J12" s="36"/>
      <c r="L12" s="80"/>
      <c r="M12" s="78">
        <v>12</v>
      </c>
      <c r="N12" s="78">
        <v>24</v>
      </c>
      <c r="O12" s="78">
        <v>36</v>
      </c>
      <c r="P12" s="78">
        <v>48</v>
      </c>
      <c r="Q12" s="26"/>
      <c r="R12" s="5"/>
    </row>
    <row r="13" spans="1:18" ht="17" x14ac:dyDescent="0.2">
      <c r="A13" s="38"/>
      <c r="B13" s="40"/>
      <c r="C13" s="263" t="s">
        <v>465</v>
      </c>
      <c r="D13" s="264"/>
      <c r="E13" s="264"/>
      <c r="F13" s="264"/>
      <c r="G13" s="265"/>
      <c r="H13" s="37"/>
      <c r="I13" s="37"/>
      <c r="J13" s="36"/>
      <c r="L13" s="82" t="s">
        <v>77</v>
      </c>
      <c r="M13" s="254">
        <f>AVERAGE(M7:M9)</f>
        <v>0.50688831925180533</v>
      </c>
      <c r="N13" s="254">
        <f>AVERAGE(N7:N9)</f>
        <v>0.84091768955879986</v>
      </c>
      <c r="O13" s="254">
        <f>AVERAGE(O7:O9)</f>
        <v>0.99247569025641491</v>
      </c>
      <c r="P13" s="254">
        <f>AVERAGE(P7:P9)</f>
        <v>1</v>
      </c>
      <c r="Q13" s="26"/>
      <c r="R13" s="5"/>
    </row>
    <row r="14" spans="1:18" x14ac:dyDescent="0.2">
      <c r="A14" s="38"/>
      <c r="B14" s="40"/>
      <c r="C14" s="63" t="s">
        <v>21</v>
      </c>
      <c r="D14" s="62"/>
      <c r="E14" s="146"/>
      <c r="F14" s="62"/>
      <c r="G14" s="61"/>
      <c r="H14" s="37"/>
      <c r="I14" s="37"/>
      <c r="J14" s="36"/>
      <c r="L14" s="5"/>
      <c r="M14" s="5"/>
      <c r="N14" s="5"/>
      <c r="O14" s="5"/>
      <c r="P14" s="5"/>
      <c r="Q14" s="5"/>
      <c r="R14" s="5"/>
    </row>
    <row r="15" spans="1:18" x14ac:dyDescent="0.2">
      <c r="A15" s="38"/>
      <c r="B15" s="40"/>
      <c r="C15" s="55" t="s">
        <v>17</v>
      </c>
      <c r="D15" s="42">
        <v>12</v>
      </c>
      <c r="E15" s="144">
        <v>24</v>
      </c>
      <c r="F15" s="42">
        <v>36</v>
      </c>
      <c r="G15" s="54">
        <v>48</v>
      </c>
      <c r="H15" s="37"/>
      <c r="I15" s="37"/>
      <c r="J15" s="36"/>
      <c r="L15" s="5"/>
      <c r="M15" s="5"/>
      <c r="N15" s="5"/>
      <c r="O15" s="5"/>
      <c r="P15" s="5"/>
      <c r="Q15" s="5"/>
      <c r="R15" s="5"/>
    </row>
    <row r="16" spans="1:18" ht="17" x14ac:dyDescent="0.2">
      <c r="A16" s="38"/>
      <c r="B16" s="40"/>
      <c r="C16" s="42">
        <v>2015</v>
      </c>
      <c r="D16" s="42">
        <v>375</v>
      </c>
      <c r="E16" s="42">
        <v>745</v>
      </c>
      <c r="F16" s="42">
        <v>906</v>
      </c>
      <c r="G16" s="42">
        <v>916</v>
      </c>
      <c r="H16" s="37"/>
      <c r="I16" s="37"/>
      <c r="J16" s="36"/>
      <c r="L16" s="82" t="s">
        <v>21</v>
      </c>
      <c r="M16" s="181" t="s">
        <v>84</v>
      </c>
      <c r="N16" s="96"/>
      <c r="O16" s="96"/>
      <c r="P16" s="96"/>
      <c r="Q16" s="96"/>
      <c r="R16" s="5"/>
    </row>
    <row r="17" spans="1:18" ht="17" x14ac:dyDescent="0.2">
      <c r="A17" s="38"/>
      <c r="B17" s="40"/>
      <c r="C17" s="51">
        <v>2016</v>
      </c>
      <c r="D17" s="51">
        <v>397</v>
      </c>
      <c r="E17" s="51">
        <v>750</v>
      </c>
      <c r="F17" s="51">
        <v>922</v>
      </c>
      <c r="G17" s="51"/>
      <c r="H17" s="37"/>
      <c r="I17" s="37"/>
      <c r="J17" s="36"/>
      <c r="L17" s="80" t="s">
        <v>17</v>
      </c>
      <c r="M17" s="78">
        <v>12</v>
      </c>
      <c r="N17" s="78">
        <v>24</v>
      </c>
      <c r="O17" s="78">
        <v>36</v>
      </c>
      <c r="P17" s="80">
        <v>48</v>
      </c>
      <c r="Q17" s="78" t="s">
        <v>18</v>
      </c>
      <c r="R17" s="5"/>
    </row>
    <row r="18" spans="1:18" x14ac:dyDescent="0.2">
      <c r="A18" s="38"/>
      <c r="B18" s="40"/>
      <c r="C18" s="51">
        <v>2017</v>
      </c>
      <c r="D18" s="51">
        <v>422</v>
      </c>
      <c r="E18" s="51">
        <v>762</v>
      </c>
      <c r="F18" s="51"/>
      <c r="G18" s="51"/>
      <c r="H18" s="37"/>
      <c r="I18" s="37"/>
      <c r="J18" s="36"/>
      <c r="L18" s="246">
        <f>L7</f>
        <v>2015</v>
      </c>
      <c r="M18" s="245">
        <f>D8</f>
        <v>308</v>
      </c>
      <c r="N18" s="245">
        <f>E8-D8</f>
        <v>247</v>
      </c>
      <c r="O18" s="245">
        <f>F8-E8</f>
        <v>87</v>
      </c>
      <c r="P18" s="253">
        <f>G8-F8</f>
        <v>5</v>
      </c>
      <c r="Q18" s="245"/>
    </row>
    <row r="19" spans="1:18" x14ac:dyDescent="0.2">
      <c r="A19" s="38"/>
      <c r="B19" s="40"/>
      <c r="C19" s="51">
        <v>2018</v>
      </c>
      <c r="D19" s="51">
        <v>385</v>
      </c>
      <c r="E19" s="51"/>
      <c r="F19" s="51"/>
      <c r="G19" s="51"/>
      <c r="H19" s="37"/>
      <c r="I19" s="37"/>
      <c r="J19" s="36"/>
      <c r="L19" s="246">
        <f>L8</f>
        <v>2016</v>
      </c>
      <c r="M19" s="245">
        <f>D9</f>
        <v>356</v>
      </c>
      <c r="N19" s="245">
        <f>E9-D9</f>
        <v>207</v>
      </c>
      <c r="O19" s="251">
        <f>F9-E9</f>
        <v>115</v>
      </c>
      <c r="P19" s="253"/>
      <c r="Q19" s="251"/>
      <c r="R19" s="5"/>
    </row>
    <row r="20" spans="1:18" x14ac:dyDescent="0.2">
      <c r="A20" s="38"/>
      <c r="B20" s="40"/>
      <c r="C20" s="37"/>
      <c r="D20" s="37"/>
      <c r="E20" s="37"/>
      <c r="F20" s="37"/>
      <c r="G20" s="37"/>
      <c r="H20" s="37"/>
      <c r="I20" s="37"/>
      <c r="J20" s="36"/>
      <c r="L20" s="246">
        <f>L9</f>
        <v>2017</v>
      </c>
      <c r="M20" s="245">
        <f>D10</f>
        <v>358</v>
      </c>
      <c r="N20" s="251">
        <f>E10-D10</f>
        <v>217</v>
      </c>
      <c r="O20" s="251"/>
      <c r="P20" s="252"/>
      <c r="Q20" s="251"/>
    </row>
    <row r="21" spans="1:18" x14ac:dyDescent="0.2">
      <c r="A21" s="38"/>
      <c r="B21" s="40"/>
      <c r="C21" s="37" t="s">
        <v>464</v>
      </c>
      <c r="D21" s="37"/>
      <c r="E21" s="37"/>
      <c r="F21" s="37"/>
      <c r="G21" s="37"/>
      <c r="H21" s="37"/>
      <c r="I21" s="113">
        <v>0.2</v>
      </c>
      <c r="J21" s="36"/>
      <c r="L21" s="246">
        <f>L10</f>
        <v>2018</v>
      </c>
      <c r="M21" s="245">
        <f>D11</f>
        <v>402</v>
      </c>
      <c r="N21" s="249">
        <f>($H11-$D$11)/(1-$M$13)*(N$13-M$13)</f>
        <v>266.21462775221323</v>
      </c>
      <c r="O21" s="249">
        <f>($H11-$D$11)/(1-$M$13)*(O$13-N$13)</f>
        <v>120.78865011631704</v>
      </c>
      <c r="P21" s="250">
        <f>($H11-$D$11)/(1-$M$13)*(P$13-O$13)</f>
        <v>5.9967221314697401</v>
      </c>
      <c r="Q21" s="249">
        <f>SUM(M21:P21)</f>
        <v>795</v>
      </c>
      <c r="R21" s="5" t="s">
        <v>336</v>
      </c>
    </row>
    <row r="22" spans="1:18" x14ac:dyDescent="0.2">
      <c r="A22" s="38"/>
      <c r="B22" s="40"/>
      <c r="C22" s="37" t="s">
        <v>463</v>
      </c>
      <c r="D22" s="37"/>
      <c r="E22" s="37"/>
      <c r="F22" s="40"/>
      <c r="G22" s="37"/>
      <c r="H22" s="37"/>
      <c r="I22" s="37"/>
      <c r="J22" s="36"/>
      <c r="L22" s="5"/>
      <c r="M22" s="5"/>
      <c r="N22" s="5"/>
      <c r="O22" s="5"/>
      <c r="P22" s="5"/>
      <c r="Q22" s="5"/>
      <c r="R22" s="5"/>
    </row>
    <row r="23" spans="1:18" ht="17" customHeight="1" x14ac:dyDescent="0.2">
      <c r="A23" s="38"/>
      <c r="B23" s="40"/>
      <c r="C23" s="37" t="s">
        <v>462</v>
      </c>
      <c r="D23" s="37"/>
      <c r="E23" s="37"/>
      <c r="F23" s="37"/>
      <c r="G23" s="37"/>
      <c r="H23" s="37"/>
      <c r="I23" s="37"/>
      <c r="J23" s="36"/>
      <c r="L23" s="82" t="s">
        <v>21</v>
      </c>
      <c r="M23" s="272" t="s">
        <v>461</v>
      </c>
      <c r="N23" s="273"/>
      <c r="O23" s="273"/>
      <c r="P23" s="273"/>
      <c r="Q23" s="5"/>
      <c r="R23" s="5"/>
    </row>
    <row r="24" spans="1:18" ht="17" x14ac:dyDescent="0.2">
      <c r="A24" s="38"/>
      <c r="B24" s="40"/>
      <c r="C24" s="37"/>
      <c r="D24" s="37"/>
      <c r="E24" s="37"/>
      <c r="F24" s="37"/>
      <c r="G24" s="37"/>
      <c r="H24" s="37"/>
      <c r="I24" s="37"/>
      <c r="J24" s="36"/>
      <c r="L24" s="80" t="s">
        <v>17</v>
      </c>
      <c r="M24" s="78">
        <v>12</v>
      </c>
      <c r="N24" s="78">
        <v>24</v>
      </c>
      <c r="O24" s="78">
        <v>36</v>
      </c>
      <c r="P24" s="78">
        <v>48</v>
      </c>
      <c r="Q24" s="5"/>
      <c r="R24" s="5"/>
    </row>
    <row r="25" spans="1:18" x14ac:dyDescent="0.2">
      <c r="A25" s="38" t="s">
        <v>40</v>
      </c>
      <c r="B25" s="39" t="s">
        <v>213</v>
      </c>
      <c r="C25" s="37" t="s">
        <v>460</v>
      </c>
      <c r="D25" s="37"/>
      <c r="E25" s="37"/>
      <c r="F25" s="37"/>
      <c r="G25" s="37"/>
      <c r="H25" s="37"/>
      <c r="I25" s="37"/>
      <c r="J25" s="36"/>
      <c r="L25" s="246">
        <f>L7</f>
        <v>2015</v>
      </c>
      <c r="M25" s="248">
        <f>D16*1000/M18*(1+$I$21)</f>
        <v>1461.0389610389609</v>
      </c>
      <c r="N25" s="248">
        <f>(E16-D16)*1000/N18*(1+$I$21)</f>
        <v>1797.570850202429</v>
      </c>
      <c r="O25" s="248">
        <f>(F16-E16)*1000/O18*(1+$I$21)</f>
        <v>2220.6896551724135</v>
      </c>
      <c r="P25" s="248">
        <f>(G16-F16)*1000/P18*(1+$I$21)</f>
        <v>2400</v>
      </c>
      <c r="Q25" s="5" t="s">
        <v>459</v>
      </c>
      <c r="R25" s="5"/>
    </row>
    <row r="26" spans="1:18" x14ac:dyDescent="0.2">
      <c r="A26" s="38"/>
      <c r="B26" s="40"/>
      <c r="C26" s="37"/>
      <c r="D26" s="37"/>
      <c r="E26" s="37"/>
      <c r="F26" s="37"/>
      <c r="G26" s="37"/>
      <c r="H26" s="37"/>
      <c r="I26" s="37"/>
      <c r="J26" s="36"/>
      <c r="L26" s="246">
        <f>L8</f>
        <v>2016</v>
      </c>
      <c r="M26" s="248">
        <f>D17*1000/M19*(1+$I$21)</f>
        <v>1338.2022471910111</v>
      </c>
      <c r="N26" s="248">
        <f>(E17-D17)*1000/N19*(1+$I$21)</f>
        <v>2046.376811594203</v>
      </c>
      <c r="O26" s="248">
        <f>(F17-E17)*1000/O19*(1+$I$21)</f>
        <v>1794.7826086956522</v>
      </c>
      <c r="P26" s="248"/>
      <c r="Q26" s="5"/>
      <c r="R26" s="5"/>
    </row>
    <row r="27" spans="1:18" x14ac:dyDescent="0.2">
      <c r="A27" s="38" t="s">
        <v>36</v>
      </c>
      <c r="B27" s="39" t="s">
        <v>35</v>
      </c>
      <c r="C27" s="37" t="s">
        <v>458</v>
      </c>
      <c r="D27" s="37"/>
      <c r="E27" s="37"/>
      <c r="F27" s="37"/>
      <c r="G27" s="37"/>
      <c r="H27" s="37"/>
      <c r="I27" s="37"/>
      <c r="J27" s="36"/>
      <c r="L27" s="246">
        <f>L9</f>
        <v>2017</v>
      </c>
      <c r="M27" s="248">
        <f>D18*1000/M20*(1+$I$21)</f>
        <v>1414.5251396648043</v>
      </c>
      <c r="N27" s="248">
        <f>(E18-D18)*1000/N20*(1+$I$21)</f>
        <v>1880.184331797235</v>
      </c>
      <c r="O27" s="248"/>
      <c r="P27" s="248"/>
      <c r="Q27" s="5"/>
      <c r="R27" s="5"/>
    </row>
    <row r="28" spans="1:18" x14ac:dyDescent="0.2">
      <c r="A28" s="38"/>
      <c r="B28" s="37"/>
      <c r="C28" s="37" t="s">
        <v>457</v>
      </c>
      <c r="D28" s="37"/>
      <c r="E28" s="37"/>
      <c r="F28" s="37"/>
      <c r="G28" s="37"/>
      <c r="H28" s="37"/>
      <c r="I28" s="37"/>
      <c r="J28" s="36"/>
      <c r="L28" s="246">
        <f>L10</f>
        <v>2018</v>
      </c>
      <c r="M28" s="248">
        <f>D19*1000/M21*(1+$I$21)</f>
        <v>1149.2537313432836</v>
      </c>
      <c r="N28" s="5"/>
      <c r="O28" s="5"/>
      <c r="P28" s="5"/>
      <c r="Q28" s="5"/>
      <c r="R28" s="5"/>
    </row>
    <row r="29" spans="1:18" ht="17" thickBot="1" x14ac:dyDescent="0.25">
      <c r="A29" s="38"/>
      <c r="B29" s="37"/>
      <c r="C29" s="91"/>
      <c r="D29" s="37"/>
      <c r="E29" s="37"/>
      <c r="F29" s="37"/>
      <c r="G29" s="37"/>
      <c r="H29" s="37"/>
      <c r="I29" s="37"/>
      <c r="J29" s="36"/>
      <c r="L29" s="5"/>
      <c r="M29" s="5"/>
      <c r="N29" s="5"/>
      <c r="O29" s="5"/>
      <c r="P29" s="5"/>
      <c r="Q29" s="5"/>
      <c r="R29" s="5"/>
    </row>
    <row r="30" spans="1:18" ht="17" thickBot="1" x14ac:dyDescent="0.25">
      <c r="A30" s="35" t="s">
        <v>32</v>
      </c>
      <c r="B30" s="33"/>
      <c r="C30" s="34"/>
      <c r="D30" s="33"/>
      <c r="E30" s="33"/>
      <c r="F30" s="33"/>
      <c r="G30" s="33"/>
      <c r="H30" s="33"/>
      <c r="I30" s="33"/>
      <c r="J30" s="32"/>
      <c r="L30" s="80"/>
      <c r="M30" s="78">
        <v>12</v>
      </c>
      <c r="N30" s="78">
        <v>24</v>
      </c>
      <c r="O30" s="78">
        <v>36</v>
      </c>
      <c r="P30" s="78">
        <v>48</v>
      </c>
      <c r="Q30" s="5"/>
    </row>
    <row r="31" spans="1:18" ht="17" x14ac:dyDescent="0.2">
      <c r="L31" s="82" t="s">
        <v>77</v>
      </c>
      <c r="M31" s="245"/>
      <c r="N31" s="247">
        <f>AVERAGE(N25:N28)</f>
        <v>1908.0439978646225</v>
      </c>
      <c r="O31" s="247">
        <f>AVERAGE(O25:O28)</f>
        <v>2007.736131934033</v>
      </c>
      <c r="P31" s="247">
        <f>AVERAGE(P25:P28)</f>
        <v>2400</v>
      </c>
      <c r="Q31" s="5"/>
    </row>
    <row r="32" spans="1:18" x14ac:dyDescent="0.2">
      <c r="L32" s="5"/>
      <c r="M32" s="5"/>
      <c r="N32" s="5"/>
      <c r="O32" s="5"/>
      <c r="P32" s="5"/>
      <c r="Q32" s="5"/>
    </row>
    <row r="33" spans="12:18" ht="17" x14ac:dyDescent="0.2">
      <c r="L33" s="82" t="s">
        <v>21</v>
      </c>
      <c r="M33" s="305" t="s">
        <v>74</v>
      </c>
      <c r="N33" s="305"/>
      <c r="O33" s="305"/>
    </row>
    <row r="34" spans="12:18" ht="17" x14ac:dyDescent="0.2">
      <c r="L34" s="80" t="s">
        <v>17</v>
      </c>
      <c r="M34" s="78">
        <v>12</v>
      </c>
      <c r="N34" s="78">
        <v>24</v>
      </c>
      <c r="O34" s="78">
        <v>36</v>
      </c>
      <c r="P34" s="78">
        <v>48</v>
      </c>
    </row>
    <row r="35" spans="12:18" x14ac:dyDescent="0.2">
      <c r="L35" s="246">
        <v>2018</v>
      </c>
      <c r="M35" s="245">
        <f>D19*1000</f>
        <v>385000</v>
      </c>
      <c r="N35" s="244">
        <f>N31*N21</f>
        <v>507949.22262637521</v>
      </c>
      <c r="O35" s="244">
        <f>O31*O21</f>
        <v>242511.73716606767</v>
      </c>
      <c r="P35" s="244">
        <f>P31*P21</f>
        <v>14392.133115527377</v>
      </c>
    </row>
    <row r="36" spans="12:18" ht="17" thickBot="1" x14ac:dyDescent="0.25"/>
    <row r="37" spans="12:18" ht="17" thickBot="1" x14ac:dyDescent="0.25">
      <c r="L37" s="161" t="s">
        <v>456</v>
      </c>
      <c r="M37" s="160"/>
      <c r="N37" s="243">
        <f>SUM(N35:P35)</f>
        <v>764853.09290797019</v>
      </c>
    </row>
    <row r="40" spans="12:18" x14ac:dyDescent="0.2">
      <c r="L40" s="64" t="s">
        <v>11</v>
      </c>
    </row>
    <row r="41" spans="12:18" x14ac:dyDescent="0.2">
      <c r="L41" s="6" t="s">
        <v>455</v>
      </c>
    </row>
    <row r="42" spans="12:18" x14ac:dyDescent="0.2">
      <c r="L42" s="2" t="s">
        <v>454</v>
      </c>
    </row>
    <row r="43" spans="12:18" x14ac:dyDescent="0.2">
      <c r="L43" s="2" t="s">
        <v>453</v>
      </c>
    </row>
    <row r="44" spans="12:18" x14ac:dyDescent="0.2">
      <c r="L44" s="2" t="s">
        <v>452</v>
      </c>
    </row>
    <row r="45" spans="12:18" x14ac:dyDescent="0.2">
      <c r="L45" s="2"/>
    </row>
    <row r="47" spans="12:18" ht="19" x14ac:dyDescent="0.25">
      <c r="L47" s="72" t="s">
        <v>3</v>
      </c>
    </row>
    <row r="48" spans="12:18" x14ac:dyDescent="0.2">
      <c r="L48" s="255" t="s">
        <v>451</v>
      </c>
      <c r="M48" s="255"/>
      <c r="N48" s="255"/>
      <c r="O48" s="255"/>
      <c r="P48" s="255"/>
      <c r="Q48" s="255"/>
      <c r="R48" s="255"/>
    </row>
    <row r="49" spans="12:18" x14ac:dyDescent="0.2">
      <c r="L49" s="255"/>
      <c r="M49" s="255"/>
      <c r="N49" s="255"/>
      <c r="O49" s="255"/>
      <c r="P49" s="255"/>
      <c r="Q49" s="255"/>
      <c r="R49" s="255"/>
    </row>
    <row r="51" spans="12:18" ht="19" x14ac:dyDescent="0.25">
      <c r="L51" s="72" t="s">
        <v>1</v>
      </c>
    </row>
    <row r="52" spans="12:18" x14ac:dyDescent="0.2">
      <c r="L52" s="1" t="s">
        <v>0</v>
      </c>
    </row>
  </sheetData>
  <mergeCells count="7">
    <mergeCell ref="M5:P5"/>
    <mergeCell ref="M33:O33"/>
    <mergeCell ref="L48:R49"/>
    <mergeCell ref="D6:G6"/>
    <mergeCell ref="C6:C7"/>
    <mergeCell ref="M23:P23"/>
    <mergeCell ref="C13:G1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38B8-F676-C844-B662-B15159E81476}">
  <dimension ref="A1:T53"/>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2" width="11" style="1"/>
    <col min="13" max="18" width="10.83203125" style="1" hidden="1" customWidth="1" outlineLevel="1"/>
    <col min="19" max="19" width="0" style="1" hidden="1" customWidth="1" outlineLevel="1"/>
    <col min="20" max="20" width="11" style="1" collapsed="1"/>
    <col min="21" max="16384" width="11" style="1"/>
  </cols>
  <sheetData>
    <row r="1" spans="1:19" x14ac:dyDescent="0.2">
      <c r="A1" s="71"/>
      <c r="B1" s="70" t="s">
        <v>70</v>
      </c>
      <c r="C1" s="69" t="s">
        <v>403</v>
      </c>
      <c r="D1" s="69" t="s">
        <v>68</v>
      </c>
      <c r="E1" s="69" t="s">
        <v>268</v>
      </c>
      <c r="F1" s="68"/>
      <c r="G1" s="68"/>
      <c r="H1" s="68"/>
      <c r="I1" s="68"/>
      <c r="J1" s="68"/>
      <c r="K1" s="67"/>
      <c r="L1" s="64" t="s">
        <v>66</v>
      </c>
    </row>
    <row r="2" spans="1:19" x14ac:dyDescent="0.2">
      <c r="A2" s="38"/>
      <c r="B2" s="66" t="s">
        <v>65</v>
      </c>
      <c r="C2" s="65">
        <v>2</v>
      </c>
      <c r="D2" s="37"/>
      <c r="E2" s="37"/>
      <c r="F2" s="37"/>
      <c r="G2" s="37"/>
      <c r="H2" s="37"/>
      <c r="I2" s="37"/>
      <c r="J2" s="37"/>
      <c r="K2" s="36"/>
    </row>
    <row r="3" spans="1:19" x14ac:dyDescent="0.2">
      <c r="A3" s="38"/>
      <c r="B3" s="37"/>
      <c r="C3" s="37"/>
      <c r="D3" s="37"/>
      <c r="E3" s="37"/>
      <c r="F3" s="37"/>
      <c r="G3" s="37"/>
      <c r="H3" s="37"/>
      <c r="I3" s="37"/>
      <c r="J3" s="37"/>
      <c r="K3" s="36"/>
      <c r="M3" s="7" t="s">
        <v>124</v>
      </c>
      <c r="N3" s="7"/>
      <c r="O3" s="7"/>
      <c r="P3" s="7"/>
      <c r="Q3" s="5"/>
      <c r="R3" s="5"/>
      <c r="S3" s="5"/>
    </row>
    <row r="4" spans="1:19" x14ac:dyDescent="0.2">
      <c r="A4" s="38"/>
      <c r="B4" s="37"/>
      <c r="C4" s="37" t="s">
        <v>390</v>
      </c>
      <c r="D4" s="37"/>
      <c r="E4" s="37"/>
      <c r="F4" s="37"/>
      <c r="G4" s="37"/>
      <c r="H4" s="37"/>
      <c r="I4" s="37"/>
      <c r="J4" s="37"/>
      <c r="K4" s="36"/>
      <c r="M4" s="114"/>
      <c r="N4" s="114"/>
      <c r="O4" s="114"/>
      <c r="P4" s="114"/>
      <c r="Q4" s="114"/>
      <c r="R4" s="114"/>
      <c r="S4" s="5"/>
    </row>
    <row r="5" spans="1:19" x14ac:dyDescent="0.2">
      <c r="A5" s="38"/>
      <c r="B5" s="37"/>
      <c r="C5" s="37"/>
      <c r="D5" s="37"/>
      <c r="E5" s="37"/>
      <c r="F5" s="37"/>
      <c r="G5" s="37"/>
      <c r="H5" s="37"/>
      <c r="I5" s="37"/>
      <c r="J5" s="37"/>
      <c r="K5" s="36"/>
      <c r="M5" s="24" t="s">
        <v>21</v>
      </c>
      <c r="N5" s="10"/>
      <c r="O5" s="10"/>
      <c r="P5" s="114"/>
      <c r="Q5" s="114"/>
      <c r="R5" s="114"/>
      <c r="S5" s="5"/>
    </row>
    <row r="6" spans="1:19" ht="17" x14ac:dyDescent="0.2">
      <c r="A6" s="38"/>
      <c r="B6" s="37"/>
      <c r="C6" s="263" t="s">
        <v>402</v>
      </c>
      <c r="D6" s="264"/>
      <c r="E6" s="264"/>
      <c r="F6" s="265"/>
      <c r="G6" s="37"/>
      <c r="H6" s="37"/>
      <c r="I6" s="37"/>
      <c r="J6" s="37"/>
      <c r="K6" s="36"/>
      <c r="M6" s="16" t="s">
        <v>17</v>
      </c>
      <c r="N6" s="112" t="s">
        <v>113</v>
      </c>
      <c r="O6" s="111" t="s">
        <v>112</v>
      </c>
      <c r="P6" s="114"/>
      <c r="Q6" s="114"/>
      <c r="R6" s="114"/>
      <c r="S6" s="5"/>
    </row>
    <row r="7" spans="1:19" x14ac:dyDescent="0.2">
      <c r="A7" s="38"/>
      <c r="B7" s="37"/>
      <c r="C7" s="59" t="s">
        <v>21</v>
      </c>
      <c r="D7" s="261" t="s">
        <v>401</v>
      </c>
      <c r="E7" s="258"/>
      <c r="F7" s="262"/>
      <c r="G7" s="37"/>
      <c r="H7" s="37"/>
      <c r="I7" s="37"/>
      <c r="J7" s="37"/>
      <c r="K7" s="36"/>
      <c r="M7" s="11">
        <f>C9</f>
        <v>2010</v>
      </c>
      <c r="N7" s="108">
        <f>E9/D9</f>
        <v>0.94158075601374569</v>
      </c>
      <c r="O7" s="108">
        <f>F9/E9</f>
        <v>0.9963503649635036</v>
      </c>
      <c r="P7" s="108"/>
      <c r="Q7" s="108"/>
      <c r="R7" s="108"/>
      <c r="S7" s="5"/>
    </row>
    <row r="8" spans="1:19" x14ac:dyDescent="0.2">
      <c r="A8" s="38"/>
      <c r="B8" s="37"/>
      <c r="C8" s="42" t="s">
        <v>17</v>
      </c>
      <c r="D8" s="183" t="s">
        <v>399</v>
      </c>
      <c r="E8" s="184" t="s">
        <v>398</v>
      </c>
      <c r="F8" s="54" t="s">
        <v>397</v>
      </c>
      <c r="G8" s="37"/>
      <c r="H8" s="37"/>
      <c r="I8" s="37"/>
      <c r="J8" s="37"/>
      <c r="K8" s="36"/>
      <c r="M8" s="11">
        <f>C10</f>
        <v>2011</v>
      </c>
      <c r="N8" s="108">
        <f>E10/D10</f>
        <v>0.96013289036544847</v>
      </c>
      <c r="O8" s="108"/>
      <c r="P8" s="108"/>
      <c r="Q8" s="108"/>
      <c r="R8" s="108"/>
      <c r="S8" s="5"/>
    </row>
    <row r="9" spans="1:19" x14ac:dyDescent="0.2">
      <c r="A9" s="38"/>
      <c r="B9" s="37"/>
      <c r="C9" s="62">
        <v>2010</v>
      </c>
      <c r="D9" s="63">
        <v>291</v>
      </c>
      <c r="E9" s="146">
        <v>274</v>
      </c>
      <c r="F9" s="61">
        <v>273</v>
      </c>
      <c r="G9" s="37"/>
      <c r="H9" s="37"/>
      <c r="I9" s="37"/>
      <c r="J9" s="37"/>
      <c r="K9" s="36"/>
      <c r="M9" s="10"/>
      <c r="N9" s="10"/>
      <c r="O9" s="10"/>
      <c r="P9" s="10"/>
      <c r="Q9" s="10"/>
      <c r="R9" s="10"/>
      <c r="S9" s="10"/>
    </row>
    <row r="10" spans="1:19" ht="17" x14ac:dyDescent="0.2">
      <c r="A10" s="38"/>
      <c r="B10" s="37"/>
      <c r="C10" s="58">
        <v>2011</v>
      </c>
      <c r="D10" s="59">
        <v>301</v>
      </c>
      <c r="E10" s="40">
        <v>289</v>
      </c>
      <c r="F10" s="57"/>
      <c r="G10" s="37"/>
      <c r="H10" s="37"/>
      <c r="I10" s="37"/>
      <c r="J10" s="37"/>
      <c r="K10" s="36"/>
      <c r="M10" s="16"/>
      <c r="N10" s="112" t="s">
        <v>113</v>
      </c>
      <c r="O10" s="111" t="s">
        <v>112</v>
      </c>
      <c r="P10" s="111" t="s">
        <v>110</v>
      </c>
      <c r="Q10" s="5"/>
    </row>
    <row r="11" spans="1:19" x14ac:dyDescent="0.2">
      <c r="A11" s="38"/>
      <c r="B11" s="37"/>
      <c r="C11" s="42">
        <v>2012</v>
      </c>
      <c r="D11" s="55">
        <v>254</v>
      </c>
      <c r="E11" s="144"/>
      <c r="F11" s="54"/>
      <c r="G11" s="37"/>
      <c r="H11" s="37"/>
      <c r="I11" s="37"/>
      <c r="J11" s="37"/>
      <c r="K11" s="36"/>
      <c r="M11" s="110" t="s">
        <v>109</v>
      </c>
      <c r="N11" s="108">
        <f>AVERAGE(N7:N8)</f>
        <v>0.95085682318959708</v>
      </c>
      <c r="O11" s="108">
        <f>AVERAGE(O7:O8)</f>
        <v>0.9963503649635036</v>
      </c>
      <c r="P11" s="109">
        <v>1</v>
      </c>
      <c r="Q11" s="5"/>
    </row>
    <row r="12" spans="1:19" x14ac:dyDescent="0.2">
      <c r="A12" s="38"/>
      <c r="B12" s="40"/>
      <c r="C12" s="37"/>
      <c r="D12" s="37"/>
      <c r="E12" s="37"/>
      <c r="F12" s="37"/>
      <c r="G12" s="37"/>
      <c r="H12" s="37"/>
      <c r="I12" s="37"/>
      <c r="J12" s="37"/>
      <c r="K12" s="36"/>
      <c r="M12" s="110" t="s">
        <v>104</v>
      </c>
      <c r="N12" s="109">
        <f>N11*O12</f>
        <v>0.94738654281299262</v>
      </c>
      <c r="O12" s="109">
        <f>O11*P12</f>
        <v>0.9963503649635036</v>
      </c>
      <c r="P12" s="109">
        <f>P11</f>
        <v>1</v>
      </c>
      <c r="Q12" s="5"/>
    </row>
    <row r="13" spans="1:19" x14ac:dyDescent="0.2">
      <c r="A13" s="38"/>
      <c r="B13" s="40"/>
      <c r="C13" s="62" t="s">
        <v>21</v>
      </c>
      <c r="D13" s="263" t="s">
        <v>400</v>
      </c>
      <c r="E13" s="264"/>
      <c r="F13" s="265"/>
      <c r="G13" s="37"/>
      <c r="H13" s="37"/>
      <c r="I13" s="37"/>
      <c r="J13" s="37"/>
      <c r="K13" s="36"/>
      <c r="M13" s="10"/>
      <c r="N13" s="10"/>
      <c r="O13" s="10"/>
      <c r="P13" s="10"/>
      <c r="Q13" s="10"/>
      <c r="R13" s="10"/>
      <c r="S13" s="10"/>
    </row>
    <row r="14" spans="1:19" x14ac:dyDescent="0.2">
      <c r="A14" s="38"/>
      <c r="B14" s="40"/>
      <c r="C14" s="42" t="s">
        <v>17</v>
      </c>
      <c r="D14" s="183" t="s">
        <v>399</v>
      </c>
      <c r="E14" s="184" t="s">
        <v>398</v>
      </c>
      <c r="F14" s="54" t="s">
        <v>397</v>
      </c>
      <c r="G14" s="37"/>
      <c r="H14" s="37"/>
      <c r="I14" s="37"/>
      <c r="J14" s="37"/>
      <c r="K14" s="36"/>
      <c r="M14" s="7" t="s">
        <v>118</v>
      </c>
      <c r="N14" s="7"/>
      <c r="O14" s="7"/>
      <c r="P14" s="7"/>
      <c r="Q14" s="114"/>
      <c r="R14" s="114"/>
      <c r="S14" s="10"/>
    </row>
    <row r="15" spans="1:19" x14ac:dyDescent="0.2">
      <c r="A15" s="38"/>
      <c r="B15" s="40"/>
      <c r="C15" s="62">
        <v>2010</v>
      </c>
      <c r="D15" s="209">
        <v>11058</v>
      </c>
      <c r="E15" s="208">
        <v>12330</v>
      </c>
      <c r="F15" s="201">
        <v>12375</v>
      </c>
      <c r="G15" s="37"/>
      <c r="H15" s="37"/>
      <c r="I15" s="37"/>
      <c r="J15" s="37"/>
      <c r="K15" s="36"/>
      <c r="M15" s="7"/>
      <c r="N15" s="7"/>
      <c r="O15" s="7"/>
      <c r="P15" s="7"/>
      <c r="Q15" s="114"/>
      <c r="R15" s="114"/>
      <c r="S15" s="10"/>
    </row>
    <row r="16" spans="1:19" x14ac:dyDescent="0.2">
      <c r="A16" s="38"/>
      <c r="B16" s="40"/>
      <c r="C16" s="58">
        <v>2011</v>
      </c>
      <c r="D16" s="207">
        <v>11739</v>
      </c>
      <c r="E16" s="206">
        <v>13005</v>
      </c>
      <c r="F16" s="198"/>
      <c r="G16" s="37"/>
      <c r="H16" s="37"/>
      <c r="I16" s="37"/>
      <c r="J16" s="37"/>
      <c r="K16" s="36"/>
      <c r="M16" s="266" t="s">
        <v>236</v>
      </c>
      <c r="N16" s="266"/>
      <c r="O16" s="266"/>
      <c r="P16" s="266"/>
      <c r="Q16" s="114"/>
      <c r="R16" s="114"/>
      <c r="S16" s="10"/>
    </row>
    <row r="17" spans="1:20" x14ac:dyDescent="0.2">
      <c r="A17" s="38"/>
      <c r="B17" s="40"/>
      <c r="C17" s="42">
        <v>2012</v>
      </c>
      <c r="D17" s="205">
        <v>13970</v>
      </c>
      <c r="E17" s="204"/>
      <c r="F17" s="195"/>
      <c r="G17" s="37"/>
      <c r="H17" s="37"/>
      <c r="I17" s="37"/>
      <c r="J17" s="37"/>
      <c r="K17" s="36"/>
      <c r="M17" s="24" t="s">
        <v>21</v>
      </c>
      <c r="N17" s="114"/>
      <c r="O17" s="114"/>
      <c r="P17" s="114"/>
      <c r="Q17" s="114"/>
      <c r="R17" s="114"/>
      <c r="S17" s="114"/>
    </row>
    <row r="18" spans="1:20" ht="17" x14ac:dyDescent="0.2">
      <c r="A18" s="38"/>
      <c r="B18" s="40"/>
      <c r="C18" s="37"/>
      <c r="D18" s="37"/>
      <c r="E18" s="37"/>
      <c r="F18" s="37"/>
      <c r="G18" s="37"/>
      <c r="H18" s="37"/>
      <c r="I18" s="37"/>
      <c r="J18" s="37"/>
      <c r="K18" s="36"/>
      <c r="M18" s="16" t="s">
        <v>17</v>
      </c>
      <c r="N18" s="111">
        <v>12</v>
      </c>
      <c r="O18" s="111">
        <v>24</v>
      </c>
      <c r="P18" s="111">
        <v>36</v>
      </c>
      <c r="Q18" s="114"/>
      <c r="R18" s="114"/>
      <c r="S18" s="114"/>
    </row>
    <row r="19" spans="1:20" x14ac:dyDescent="0.2">
      <c r="A19" s="38"/>
      <c r="B19" s="40"/>
      <c r="C19" s="37" t="s">
        <v>396</v>
      </c>
      <c r="D19" s="37"/>
      <c r="E19" s="37"/>
      <c r="F19" s="37"/>
      <c r="G19" s="37"/>
      <c r="H19" s="37"/>
      <c r="I19" s="37"/>
      <c r="J19" s="37"/>
      <c r="K19" s="36"/>
      <c r="M19" s="11">
        <f>C9</f>
        <v>2010</v>
      </c>
      <c r="N19" s="9">
        <f>D15/D9*1000</f>
        <v>38000</v>
      </c>
      <c r="O19" s="9">
        <f>E15/E9*1000</f>
        <v>45000</v>
      </c>
      <c r="P19" s="9">
        <f>F15/F9*1000</f>
        <v>45329.670329670327</v>
      </c>
      <c r="Q19" s="114"/>
      <c r="R19" s="114"/>
      <c r="S19" s="114"/>
    </row>
    <row r="20" spans="1:20" x14ac:dyDescent="0.2">
      <c r="A20" s="38"/>
      <c r="B20" s="40"/>
      <c r="C20" s="37"/>
      <c r="D20" s="37"/>
      <c r="E20" s="37"/>
      <c r="F20" s="37"/>
      <c r="G20" s="37"/>
      <c r="H20" s="37"/>
      <c r="I20" s="37"/>
      <c r="J20" s="37"/>
      <c r="K20" s="36"/>
      <c r="M20" s="11">
        <f>C10</f>
        <v>2011</v>
      </c>
      <c r="N20" s="9">
        <f>D16/D10*1000</f>
        <v>39000</v>
      </c>
      <c r="O20" s="9">
        <f>E16/E10*1000</f>
        <v>45000</v>
      </c>
      <c r="P20" s="9"/>
      <c r="Q20" s="114"/>
      <c r="R20" s="114"/>
      <c r="S20" s="114"/>
    </row>
    <row r="21" spans="1:20" x14ac:dyDescent="0.2">
      <c r="A21" s="38"/>
      <c r="B21" s="37"/>
      <c r="C21" s="37" t="s">
        <v>395</v>
      </c>
      <c r="D21" s="37"/>
      <c r="E21" s="37"/>
      <c r="F21" s="37"/>
      <c r="G21" s="37"/>
      <c r="H21" s="37"/>
      <c r="I21" s="37"/>
      <c r="J21" s="37"/>
      <c r="K21" s="36"/>
      <c r="M21" s="11">
        <f>C11</f>
        <v>2012</v>
      </c>
      <c r="N21" s="9">
        <f>D17/D11*1000</f>
        <v>55000</v>
      </c>
      <c r="O21" s="9"/>
      <c r="P21" s="9"/>
      <c r="Q21" s="9"/>
      <c r="R21" s="9"/>
      <c r="S21" s="9"/>
    </row>
    <row r="22" spans="1:20" ht="17" thickBot="1" x14ac:dyDescent="0.25">
      <c r="A22" s="38"/>
      <c r="B22" s="37"/>
      <c r="C22" s="37"/>
      <c r="D22" s="37"/>
      <c r="E22" s="37"/>
      <c r="F22" s="37"/>
      <c r="G22" s="37"/>
      <c r="H22" s="37"/>
      <c r="I22" s="37"/>
      <c r="J22" s="37"/>
      <c r="K22" s="36"/>
      <c r="M22" s="9"/>
      <c r="N22" s="9"/>
      <c r="O22" s="9"/>
      <c r="P22" s="9"/>
      <c r="Q22" s="9"/>
      <c r="R22" s="9"/>
      <c r="S22" s="9"/>
    </row>
    <row r="23" spans="1:20" ht="17" thickBot="1" x14ac:dyDescent="0.25">
      <c r="A23" s="35" t="s">
        <v>32</v>
      </c>
      <c r="B23" s="33"/>
      <c r="C23" s="34"/>
      <c r="D23" s="33"/>
      <c r="E23" s="33"/>
      <c r="F23" s="33"/>
      <c r="G23" s="33"/>
      <c r="H23" s="33"/>
      <c r="I23" s="33"/>
      <c r="J23" s="33"/>
      <c r="K23" s="32"/>
      <c r="M23" s="24" t="s">
        <v>21</v>
      </c>
      <c r="N23" s="10"/>
      <c r="O23" s="10"/>
      <c r="P23" s="114"/>
      <c r="Q23" s="114"/>
      <c r="R23" s="114"/>
      <c r="S23" s="5"/>
    </row>
    <row r="24" spans="1:20" ht="17" x14ac:dyDescent="0.2">
      <c r="M24" s="16" t="s">
        <v>17</v>
      </c>
      <c r="N24" s="112" t="s">
        <v>113</v>
      </c>
      <c r="O24" s="111" t="s">
        <v>112</v>
      </c>
      <c r="P24" s="114"/>
      <c r="Q24" s="114"/>
      <c r="R24" s="114"/>
      <c r="S24" s="5"/>
    </row>
    <row r="25" spans="1:20" x14ac:dyDescent="0.2">
      <c r="M25" s="11">
        <f>M7</f>
        <v>2010</v>
      </c>
      <c r="N25" s="108">
        <f>O19/N19</f>
        <v>1.1842105263157894</v>
      </c>
      <c r="O25" s="108">
        <f>P19/O19</f>
        <v>1.0073260073260073</v>
      </c>
      <c r="P25" s="114"/>
      <c r="Q25" s="114"/>
      <c r="R25" s="114"/>
      <c r="S25" s="5"/>
    </row>
    <row r="26" spans="1:20" x14ac:dyDescent="0.2">
      <c r="M26" s="11">
        <f>M8</f>
        <v>2011</v>
      </c>
      <c r="N26" s="108">
        <f>O20/N20</f>
        <v>1.1538461538461537</v>
      </c>
      <c r="O26" s="108"/>
      <c r="P26" s="108"/>
      <c r="Q26" s="108"/>
      <c r="R26" s="108"/>
      <c r="S26" s="5"/>
    </row>
    <row r="27" spans="1:20" x14ac:dyDescent="0.2">
      <c r="M27" s="10"/>
      <c r="N27" s="10"/>
      <c r="O27" s="10"/>
      <c r="P27" s="10"/>
      <c r="Q27" s="10"/>
      <c r="R27" s="10"/>
      <c r="S27" s="10"/>
    </row>
    <row r="28" spans="1:20" ht="17" x14ac:dyDescent="0.2">
      <c r="M28" s="16"/>
      <c r="N28" s="112" t="s">
        <v>113</v>
      </c>
      <c r="O28" s="111" t="s">
        <v>112</v>
      </c>
      <c r="P28" s="111" t="s">
        <v>110</v>
      </c>
      <c r="Q28" s="10"/>
    </row>
    <row r="29" spans="1:20" x14ac:dyDescent="0.2">
      <c r="M29" s="110" t="s">
        <v>109</v>
      </c>
      <c r="N29" s="108">
        <f>AVERAGE(N25:N26)</f>
        <v>1.1690283400809716</v>
      </c>
      <c r="O29" s="108">
        <f>AVERAGE(O25:O26)</f>
        <v>1.0073260073260073</v>
      </c>
      <c r="P29" s="108">
        <v>1</v>
      </c>
      <c r="Q29" s="10"/>
    </row>
    <row r="30" spans="1:20" x14ac:dyDescent="0.2">
      <c r="M30" s="110" t="s">
        <v>104</v>
      </c>
      <c r="N30" s="109">
        <f>N29*O30</f>
        <v>1.1775926502647149</v>
      </c>
      <c r="O30" s="109">
        <f>O29*P30</f>
        <v>1.0073260073260073</v>
      </c>
      <c r="P30" s="109">
        <f>P29</f>
        <v>1</v>
      </c>
      <c r="Q30" s="10"/>
    </row>
    <row r="31" spans="1:20" x14ac:dyDescent="0.2">
      <c r="M31" s="5"/>
      <c r="N31" s="5"/>
      <c r="O31" s="5"/>
      <c r="P31" s="5"/>
      <c r="Q31" s="5"/>
      <c r="R31" s="5"/>
      <c r="S31" s="5"/>
    </row>
    <row r="32" spans="1:20" x14ac:dyDescent="0.2">
      <c r="M32" s="7" t="s">
        <v>101</v>
      </c>
      <c r="N32" s="5"/>
      <c r="O32" s="5"/>
      <c r="P32" s="5"/>
      <c r="Q32" s="5"/>
      <c r="R32" s="5"/>
      <c r="S32" s="5"/>
      <c r="T32" s="10"/>
    </row>
    <row r="33" spans="13:19" x14ac:dyDescent="0.2">
      <c r="M33" s="5"/>
      <c r="N33" s="5"/>
      <c r="O33" s="5"/>
      <c r="P33" s="5"/>
      <c r="Q33" s="5"/>
      <c r="R33" s="5"/>
    </row>
    <row r="34" spans="13:19" x14ac:dyDescent="0.2">
      <c r="M34" s="5"/>
      <c r="N34" s="5"/>
      <c r="O34" s="24" t="s">
        <v>18</v>
      </c>
      <c r="P34" s="5"/>
      <c r="Q34" s="203"/>
      <c r="R34" s="5"/>
    </row>
    <row r="35" spans="13:19" ht="17" thickBot="1" x14ac:dyDescent="0.25">
      <c r="M35" s="24" t="s">
        <v>21</v>
      </c>
      <c r="N35" s="168" t="s">
        <v>54</v>
      </c>
      <c r="O35" s="24" t="s">
        <v>54</v>
      </c>
      <c r="P35" s="23" t="s">
        <v>107</v>
      </c>
      <c r="Q35" s="110" t="s">
        <v>18</v>
      </c>
      <c r="R35" s="26" t="s">
        <v>18</v>
      </c>
    </row>
    <row r="36" spans="13:19" ht="17" x14ac:dyDescent="0.2">
      <c r="M36" s="16" t="s">
        <v>17</v>
      </c>
      <c r="N36" s="21" t="s">
        <v>53</v>
      </c>
      <c r="O36" s="16" t="s">
        <v>53</v>
      </c>
      <c r="P36" s="21" t="s">
        <v>14</v>
      </c>
      <c r="Q36" s="16" t="s">
        <v>14</v>
      </c>
      <c r="R36" s="21" t="s">
        <v>72</v>
      </c>
      <c r="S36" s="22" t="s">
        <v>394</v>
      </c>
    </row>
    <row r="37" spans="13:19" x14ac:dyDescent="0.2">
      <c r="M37" s="11">
        <f>C9</f>
        <v>2010</v>
      </c>
      <c r="N37" s="9">
        <f>F9</f>
        <v>273</v>
      </c>
      <c r="O37" s="45">
        <f>N37*P12</f>
        <v>273</v>
      </c>
      <c r="P37" s="9">
        <f>P19</f>
        <v>45329.670329670327</v>
      </c>
      <c r="Q37" s="45">
        <f>P37*P30</f>
        <v>45329.670329670327</v>
      </c>
      <c r="R37" s="9">
        <f>Q37*O37/1000</f>
        <v>12375</v>
      </c>
      <c r="S37" s="17">
        <f>R37-F15</f>
        <v>0</v>
      </c>
    </row>
    <row r="38" spans="13:19" x14ac:dyDescent="0.2">
      <c r="M38" s="11">
        <f>C10</f>
        <v>2011</v>
      </c>
      <c r="N38" s="9">
        <f>E10</f>
        <v>289</v>
      </c>
      <c r="O38" s="45">
        <f>N38*O12</f>
        <v>287.94525547445255</v>
      </c>
      <c r="P38" s="9">
        <f>O20</f>
        <v>45000</v>
      </c>
      <c r="Q38" s="45">
        <f>P38*O30</f>
        <v>45329.670329670327</v>
      </c>
      <c r="R38" s="9">
        <f>Q38*O38/1000</f>
        <v>13052.463503649633</v>
      </c>
      <c r="S38" s="17">
        <f>R38-E16</f>
        <v>47.463503649632912</v>
      </c>
    </row>
    <row r="39" spans="13:19" x14ac:dyDescent="0.2">
      <c r="M39" s="16">
        <f>C11</f>
        <v>2012</v>
      </c>
      <c r="N39" s="15">
        <f>D11</f>
        <v>254</v>
      </c>
      <c r="O39" s="150">
        <f>N39*N12</f>
        <v>240.63618187450012</v>
      </c>
      <c r="P39" s="15">
        <f>N21</f>
        <v>55000</v>
      </c>
      <c r="Q39" s="150">
        <f>P39*N30</f>
        <v>64767.595764559323</v>
      </c>
      <c r="R39" s="13">
        <f>Q39*O39/1000</f>
        <v>15585.4269539746</v>
      </c>
      <c r="S39" s="12">
        <f>R39-D17</f>
        <v>1615.4269539746001</v>
      </c>
    </row>
    <row r="40" spans="13:19" ht="18" thickBot="1" x14ac:dyDescent="0.25">
      <c r="M40" s="11" t="s">
        <v>12</v>
      </c>
      <c r="N40" s="9"/>
      <c r="O40" s="45">
        <f>SUM(O37:O39)</f>
        <v>801.5814373489527</v>
      </c>
      <c r="P40" s="9"/>
      <c r="Q40" s="45"/>
      <c r="R40" s="9">
        <f>SUM(R37:R39)</f>
        <v>41012.890457624235</v>
      </c>
      <c r="S40" s="147">
        <f>SUM(S37:S39)</f>
        <v>1662.890457624233</v>
      </c>
    </row>
    <row r="42" spans="13:19" x14ac:dyDescent="0.2">
      <c r="M42" s="5"/>
      <c r="N42" s="5"/>
      <c r="O42" s="5"/>
      <c r="P42" s="5"/>
      <c r="Q42" s="5"/>
      <c r="R42" s="5"/>
      <c r="S42" s="5"/>
    </row>
    <row r="43" spans="13:19" ht="19" x14ac:dyDescent="0.25">
      <c r="M43" s="101" t="s">
        <v>3</v>
      </c>
      <c r="N43" s="5"/>
      <c r="O43" s="5"/>
      <c r="P43" s="5"/>
      <c r="Q43" s="5"/>
      <c r="R43" s="5"/>
      <c r="S43" s="5"/>
    </row>
    <row r="44" spans="13:19" x14ac:dyDescent="0.2">
      <c r="M44" s="267" t="s">
        <v>393</v>
      </c>
      <c r="N44" s="267"/>
      <c r="O44" s="267"/>
      <c r="P44" s="267"/>
      <c r="Q44" s="267"/>
      <c r="R44" s="267"/>
      <c r="S44" s="267"/>
    </row>
    <row r="45" spans="13:19" x14ac:dyDescent="0.2">
      <c r="M45" s="267"/>
      <c r="N45" s="267"/>
      <c r="O45" s="267"/>
      <c r="P45" s="267"/>
      <c r="Q45" s="267"/>
      <c r="R45" s="267"/>
      <c r="S45" s="267"/>
    </row>
    <row r="46" spans="13:19" x14ac:dyDescent="0.2">
      <c r="M46" s="267"/>
      <c r="N46" s="267"/>
      <c r="O46" s="267"/>
      <c r="P46" s="267"/>
      <c r="Q46" s="267"/>
      <c r="R46" s="267"/>
      <c r="S46" s="267"/>
    </row>
    <row r="47" spans="13:19" x14ac:dyDescent="0.2">
      <c r="M47" s="267"/>
      <c r="N47" s="267"/>
      <c r="O47" s="267"/>
      <c r="P47" s="267"/>
      <c r="Q47" s="267"/>
      <c r="R47" s="267"/>
      <c r="S47" s="267"/>
    </row>
    <row r="48" spans="13:19" x14ac:dyDescent="0.2">
      <c r="M48" s="267"/>
      <c r="N48" s="267"/>
      <c r="O48" s="267"/>
      <c r="P48" s="267"/>
      <c r="Q48" s="267"/>
      <c r="R48" s="267"/>
      <c r="S48" s="267"/>
    </row>
    <row r="49" spans="13:19" x14ac:dyDescent="0.2">
      <c r="M49" s="5"/>
      <c r="N49" s="5"/>
      <c r="O49" s="5"/>
      <c r="P49" s="5"/>
      <c r="Q49" s="5"/>
      <c r="R49" s="5"/>
      <c r="S49" s="5"/>
    </row>
    <row r="50" spans="13:19" ht="19" x14ac:dyDescent="0.25">
      <c r="M50" s="101" t="s">
        <v>1</v>
      </c>
      <c r="N50" s="5"/>
      <c r="O50" s="5"/>
      <c r="P50" s="5"/>
      <c r="Q50" s="5"/>
      <c r="R50" s="5"/>
      <c r="S50" s="5"/>
    </row>
    <row r="51" spans="13:19" x14ac:dyDescent="0.2">
      <c r="M51" s="5" t="s">
        <v>95</v>
      </c>
      <c r="N51" s="5"/>
      <c r="O51" s="5"/>
      <c r="P51" s="5"/>
      <c r="Q51" s="5"/>
      <c r="R51" s="5"/>
      <c r="S51" s="5"/>
    </row>
    <row r="52" spans="13:19" x14ac:dyDescent="0.2">
      <c r="M52" s="5"/>
      <c r="N52" s="5"/>
      <c r="O52" s="5"/>
      <c r="P52" s="5"/>
      <c r="Q52" s="5"/>
      <c r="R52" s="5"/>
      <c r="S52" s="5"/>
    </row>
    <row r="53" spans="13:19" x14ac:dyDescent="0.2">
      <c r="M53" s="5"/>
      <c r="N53" s="5"/>
      <c r="O53" s="5"/>
      <c r="P53" s="5"/>
      <c r="Q53" s="5"/>
      <c r="R53" s="5"/>
      <c r="S53" s="5"/>
    </row>
  </sheetData>
  <mergeCells count="5">
    <mergeCell ref="D7:F7"/>
    <mergeCell ref="D13:F13"/>
    <mergeCell ref="C6:F6"/>
    <mergeCell ref="M16:P16"/>
    <mergeCell ref="M44:S4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CF13C-0F78-3249-8166-FCBF9A1CB094}">
  <dimension ref="A1:V71"/>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9" width="11" style="1"/>
    <col min="10" max="10" width="11" style="1" customWidth="1"/>
    <col min="11" max="12" width="11" style="1"/>
    <col min="13" max="21" width="10.83203125" style="1" hidden="1" customWidth="1" outlineLevel="1"/>
    <col min="22" max="22" width="10.83203125" style="1" customWidth="1" collapsed="1"/>
    <col min="23" max="23" width="10.83203125" style="1" customWidth="1"/>
    <col min="24" max="16384" width="11" style="1"/>
  </cols>
  <sheetData>
    <row r="1" spans="1:19" x14ac:dyDescent="0.2">
      <c r="A1" s="71"/>
      <c r="B1" s="70" t="s">
        <v>70</v>
      </c>
      <c r="C1" s="69" t="s">
        <v>421</v>
      </c>
      <c r="D1" s="69" t="s">
        <v>68</v>
      </c>
      <c r="E1" s="69" t="s">
        <v>67</v>
      </c>
      <c r="F1" s="68"/>
      <c r="G1" s="68"/>
      <c r="H1" s="68"/>
      <c r="I1" s="68"/>
      <c r="J1" s="68"/>
      <c r="K1" s="67"/>
      <c r="L1" s="64" t="s">
        <v>66</v>
      </c>
    </row>
    <row r="2" spans="1:19" x14ac:dyDescent="0.2">
      <c r="A2" s="38"/>
      <c r="B2" s="66" t="s">
        <v>65</v>
      </c>
      <c r="C2" s="65">
        <v>3.5</v>
      </c>
      <c r="D2" s="37"/>
      <c r="E2" s="37"/>
      <c r="F2" s="37"/>
      <c r="G2" s="37"/>
      <c r="H2" s="37"/>
      <c r="I2" s="37"/>
      <c r="J2" s="37"/>
      <c r="K2" s="36"/>
    </row>
    <row r="3" spans="1:19" x14ac:dyDescent="0.2">
      <c r="A3" s="38"/>
      <c r="B3" s="37"/>
      <c r="C3" s="37"/>
      <c r="D3" s="37"/>
      <c r="E3" s="37"/>
      <c r="F3" s="37"/>
      <c r="G3" s="37"/>
      <c r="H3" s="37"/>
      <c r="I3" s="37"/>
      <c r="J3" s="37"/>
      <c r="K3" s="36"/>
    </row>
    <row r="4" spans="1:19" x14ac:dyDescent="0.2">
      <c r="A4" s="38"/>
      <c r="B4" s="37"/>
      <c r="C4" s="276" t="s">
        <v>420</v>
      </c>
      <c r="D4" s="276"/>
      <c r="E4" s="276"/>
      <c r="F4" s="276"/>
      <c r="G4" s="276"/>
      <c r="H4" s="276"/>
      <c r="I4" s="276"/>
      <c r="J4" s="276"/>
      <c r="K4" s="36"/>
      <c r="M4" s="268" t="s">
        <v>419</v>
      </c>
      <c r="N4" s="268"/>
      <c r="O4" s="268"/>
      <c r="P4" s="268"/>
      <c r="Q4" s="268"/>
      <c r="R4" s="268"/>
      <c r="S4" s="268"/>
    </row>
    <row r="5" spans="1:19" x14ac:dyDescent="0.2">
      <c r="A5" s="38"/>
      <c r="B5" s="37"/>
      <c r="C5" s="276"/>
      <c r="D5" s="276"/>
      <c r="E5" s="276"/>
      <c r="F5" s="276"/>
      <c r="G5" s="276"/>
      <c r="H5" s="276"/>
      <c r="I5" s="276"/>
      <c r="J5" s="276"/>
      <c r="K5" s="36"/>
      <c r="M5" s="268"/>
      <c r="N5" s="268"/>
      <c r="O5" s="268"/>
      <c r="P5" s="268"/>
      <c r="Q5" s="268"/>
      <c r="R5" s="268"/>
      <c r="S5" s="268"/>
    </row>
    <row r="6" spans="1:19" x14ac:dyDescent="0.2">
      <c r="A6" s="38"/>
      <c r="B6" s="37"/>
      <c r="C6" s="276"/>
      <c r="D6" s="276"/>
      <c r="E6" s="276"/>
      <c r="F6" s="276"/>
      <c r="G6" s="276"/>
      <c r="H6" s="276"/>
      <c r="I6" s="276"/>
      <c r="J6" s="276"/>
      <c r="K6" s="36"/>
      <c r="O6" s="98"/>
    </row>
    <row r="7" spans="1:19" x14ac:dyDescent="0.2">
      <c r="A7" s="38"/>
      <c r="B7" s="37"/>
      <c r="C7" s="37"/>
      <c r="D7" s="37"/>
      <c r="E7" s="37"/>
      <c r="F7" s="37"/>
      <c r="G7" s="37"/>
      <c r="H7" s="37"/>
      <c r="I7" s="37"/>
      <c r="J7" s="37"/>
      <c r="K7" s="36"/>
      <c r="M7" s="64" t="s">
        <v>91</v>
      </c>
      <c r="O7" s="98"/>
    </row>
    <row r="8" spans="1:19" x14ac:dyDescent="0.2">
      <c r="A8" s="38"/>
      <c r="B8" s="37"/>
      <c r="C8" s="37" t="s">
        <v>418</v>
      </c>
      <c r="D8" s="37"/>
      <c r="E8" s="37"/>
      <c r="F8" s="37"/>
      <c r="G8" s="37"/>
      <c r="H8" s="37"/>
      <c r="I8" s="37"/>
      <c r="J8" s="37"/>
      <c r="K8" s="36"/>
      <c r="O8" s="98"/>
    </row>
    <row r="9" spans="1:19" ht="17" x14ac:dyDescent="0.2">
      <c r="A9" s="38"/>
      <c r="B9" s="37"/>
      <c r="C9" s="37"/>
      <c r="D9" s="37"/>
      <c r="E9" s="37"/>
      <c r="F9" s="37"/>
      <c r="G9" s="37"/>
      <c r="H9" s="37"/>
      <c r="I9" s="37"/>
      <c r="J9" s="37"/>
      <c r="K9" s="36"/>
      <c r="M9" s="82" t="s">
        <v>21</v>
      </c>
      <c r="N9" s="275" t="s">
        <v>88</v>
      </c>
      <c r="O9" s="266"/>
      <c r="P9" s="266"/>
      <c r="Q9" s="266"/>
      <c r="R9" s="5"/>
      <c r="S9" s="5"/>
    </row>
    <row r="10" spans="1:19" ht="17" x14ac:dyDescent="0.2">
      <c r="A10" s="38"/>
      <c r="B10" s="37"/>
      <c r="C10" s="37" t="s">
        <v>417</v>
      </c>
      <c r="D10" s="37"/>
      <c r="E10" s="37"/>
      <c r="F10" s="37"/>
      <c r="G10" s="37"/>
      <c r="H10" s="37"/>
      <c r="I10" s="37"/>
      <c r="J10" s="37"/>
      <c r="K10" s="36"/>
      <c r="M10" s="80" t="s">
        <v>17</v>
      </c>
      <c r="N10" s="78">
        <v>12</v>
      </c>
      <c r="O10" s="78">
        <v>24</v>
      </c>
      <c r="P10" s="78">
        <v>36</v>
      </c>
      <c r="Q10" s="78">
        <v>48</v>
      </c>
      <c r="R10" s="5"/>
      <c r="S10" s="5"/>
    </row>
    <row r="11" spans="1:19" x14ac:dyDescent="0.2">
      <c r="A11" s="38"/>
      <c r="B11" s="37"/>
      <c r="C11" s="37" t="s">
        <v>416</v>
      </c>
      <c r="D11" s="37"/>
      <c r="E11" s="37"/>
      <c r="F11" s="37"/>
      <c r="G11" s="37"/>
      <c r="H11" s="37"/>
      <c r="I11" s="37"/>
      <c r="J11" s="37"/>
      <c r="K11" s="36"/>
      <c r="M11" s="76">
        <f>C24</f>
        <v>2010</v>
      </c>
      <c r="N11" s="97">
        <f>D24/$D38</f>
        <v>0.5</v>
      </c>
      <c r="O11" s="97">
        <f>E24/$D38</f>
        <v>0.75</v>
      </c>
      <c r="P11" s="97">
        <f>F24/$D38</f>
        <v>0.9</v>
      </c>
      <c r="Q11" s="97">
        <f>G24/$D38</f>
        <v>1</v>
      </c>
      <c r="R11" s="5"/>
      <c r="S11" s="5"/>
    </row>
    <row r="12" spans="1:19" x14ac:dyDescent="0.2">
      <c r="A12" s="38"/>
      <c r="B12" s="37"/>
      <c r="C12" s="37"/>
      <c r="D12" s="37"/>
      <c r="E12" s="37"/>
      <c r="F12" s="37"/>
      <c r="G12" s="37"/>
      <c r="H12" s="37"/>
      <c r="I12" s="37"/>
      <c r="J12" s="37"/>
      <c r="K12" s="36"/>
      <c r="M12" s="76">
        <f>C25</f>
        <v>2011</v>
      </c>
      <c r="N12" s="97">
        <f>D25/$D39</f>
        <v>0.5</v>
      </c>
      <c r="O12" s="97">
        <f>E25/$D39</f>
        <v>0.75</v>
      </c>
      <c r="P12" s="97">
        <f>F25/$D39</f>
        <v>0.95</v>
      </c>
      <c r="Q12" s="97"/>
      <c r="R12" s="5"/>
      <c r="S12" s="5"/>
    </row>
    <row r="13" spans="1:19" x14ac:dyDescent="0.2">
      <c r="A13" s="38"/>
      <c r="B13" s="37"/>
      <c r="C13" s="37" t="s">
        <v>415</v>
      </c>
      <c r="D13" s="37"/>
      <c r="E13" s="37"/>
      <c r="F13" s="37"/>
      <c r="G13" s="37"/>
      <c r="H13" s="37"/>
      <c r="I13" s="37"/>
      <c r="J13" s="37"/>
      <c r="K13" s="36"/>
      <c r="M13" s="76">
        <f>C26</f>
        <v>2012</v>
      </c>
      <c r="N13" s="97">
        <f>D26/$D40</f>
        <v>0.5</v>
      </c>
      <c r="O13" s="97">
        <f>E26/$D40</f>
        <v>0.8</v>
      </c>
      <c r="P13" s="97"/>
      <c r="Q13" s="97"/>
      <c r="R13" s="5"/>
      <c r="S13" s="5"/>
    </row>
    <row r="14" spans="1:19" x14ac:dyDescent="0.2">
      <c r="A14" s="38"/>
      <c r="B14" s="37"/>
      <c r="C14" s="37"/>
      <c r="D14" s="37"/>
      <c r="E14" s="37"/>
      <c r="F14" s="37"/>
      <c r="G14" s="37"/>
      <c r="H14" s="37"/>
      <c r="I14" s="37"/>
      <c r="J14" s="37"/>
      <c r="K14" s="36"/>
      <c r="M14" s="76">
        <f>C27</f>
        <v>2013</v>
      </c>
      <c r="N14" s="97">
        <f>D27/$D41</f>
        <v>0.6</v>
      </c>
      <c r="O14" s="97"/>
      <c r="P14" s="97"/>
      <c r="Q14" s="97"/>
      <c r="R14" s="5"/>
      <c r="S14" s="5"/>
    </row>
    <row r="15" spans="1:19" x14ac:dyDescent="0.2">
      <c r="A15" s="38"/>
      <c r="B15" s="37"/>
      <c r="C15" s="62" t="s">
        <v>21</v>
      </c>
      <c r="D15" s="263" t="s">
        <v>414</v>
      </c>
      <c r="E15" s="264"/>
      <c r="F15" s="264"/>
      <c r="G15" s="265"/>
      <c r="H15" s="37"/>
      <c r="I15" s="37"/>
      <c r="J15" s="37"/>
      <c r="K15" s="36"/>
      <c r="M15" s="5"/>
      <c r="N15" s="5"/>
      <c r="O15" s="5"/>
      <c r="P15" s="5"/>
      <c r="Q15" s="5"/>
      <c r="R15" s="5"/>
      <c r="S15" s="5"/>
    </row>
    <row r="16" spans="1:19" x14ac:dyDescent="0.2">
      <c r="A16" s="38"/>
      <c r="B16" s="40"/>
      <c r="C16" s="42" t="s">
        <v>149</v>
      </c>
      <c r="D16" s="183">
        <v>12</v>
      </c>
      <c r="E16" s="184">
        <v>24</v>
      </c>
      <c r="F16" s="184">
        <v>36</v>
      </c>
      <c r="G16" s="138">
        <v>48</v>
      </c>
      <c r="H16" s="37"/>
      <c r="I16" s="37"/>
      <c r="J16" s="37"/>
      <c r="K16" s="36"/>
      <c r="M16" s="80"/>
      <c r="N16" s="78">
        <v>12</v>
      </c>
      <c r="O16" s="78">
        <v>24</v>
      </c>
      <c r="P16" s="78">
        <v>36</v>
      </c>
      <c r="Q16" s="78">
        <v>48</v>
      </c>
      <c r="R16" s="26"/>
      <c r="S16" s="5"/>
    </row>
    <row r="17" spans="1:21" ht="17" x14ac:dyDescent="0.2">
      <c r="A17" s="38"/>
      <c r="B17" s="40"/>
      <c r="C17" s="62">
        <v>2010</v>
      </c>
      <c r="D17" s="209">
        <v>1000000</v>
      </c>
      <c r="E17" s="208">
        <v>1750000</v>
      </c>
      <c r="F17" s="208">
        <v>2350000</v>
      </c>
      <c r="G17" s="201">
        <v>2850000</v>
      </c>
      <c r="H17" s="37"/>
      <c r="I17" s="37"/>
      <c r="J17" s="37"/>
      <c r="K17" s="36"/>
      <c r="M17" s="82" t="s">
        <v>77</v>
      </c>
      <c r="N17" s="97">
        <f>N14</f>
        <v>0.6</v>
      </c>
      <c r="O17" s="97">
        <f>O13</f>
        <v>0.8</v>
      </c>
      <c r="P17" s="97">
        <f>P12</f>
        <v>0.95</v>
      </c>
      <c r="Q17" s="97">
        <f>Q11</f>
        <v>1</v>
      </c>
      <c r="R17" s="26"/>
      <c r="S17" s="5"/>
    </row>
    <row r="18" spans="1:21" x14ac:dyDescent="0.2">
      <c r="A18" s="38"/>
      <c r="B18" s="40"/>
      <c r="C18" s="58">
        <v>2011</v>
      </c>
      <c r="D18" s="223">
        <v>1210000</v>
      </c>
      <c r="E18" s="206">
        <v>2117500</v>
      </c>
      <c r="F18" s="206">
        <v>3059100</v>
      </c>
      <c r="G18" s="198"/>
      <c r="H18" s="37"/>
      <c r="I18" s="37"/>
      <c r="J18" s="37"/>
      <c r="K18" s="36"/>
      <c r="M18" s="5"/>
      <c r="N18" s="5"/>
      <c r="O18" s="5"/>
      <c r="P18" s="5"/>
      <c r="Q18" s="5"/>
      <c r="R18" s="5"/>
      <c r="S18" s="5"/>
    </row>
    <row r="19" spans="1:21" x14ac:dyDescent="0.2">
      <c r="A19" s="38"/>
      <c r="B19" s="40"/>
      <c r="C19" s="58">
        <v>2012</v>
      </c>
      <c r="D19" s="223">
        <v>1089000</v>
      </c>
      <c r="E19" s="206">
        <v>2042370</v>
      </c>
      <c r="F19" s="206"/>
      <c r="G19" s="198"/>
      <c r="H19" s="37"/>
      <c r="I19" s="37"/>
      <c r="J19" s="37"/>
      <c r="K19" s="36"/>
      <c r="M19" s="222" t="s">
        <v>413</v>
      </c>
      <c r="N19" s="5"/>
      <c r="O19" s="5"/>
      <c r="P19" s="5"/>
      <c r="Q19" s="5"/>
      <c r="R19" s="5"/>
      <c r="S19" s="5"/>
    </row>
    <row r="20" spans="1:21" x14ac:dyDescent="0.2">
      <c r="A20" s="38"/>
      <c r="B20" s="40"/>
      <c r="C20" s="42">
        <v>2013</v>
      </c>
      <c r="D20" s="205">
        <v>1709000</v>
      </c>
      <c r="E20" s="204"/>
      <c r="F20" s="204"/>
      <c r="G20" s="195"/>
      <c r="H20" s="37"/>
      <c r="I20" s="37"/>
      <c r="J20" s="37"/>
      <c r="K20" s="36"/>
      <c r="M20" s="5"/>
      <c r="N20" s="5"/>
      <c r="O20" s="5"/>
      <c r="P20" s="5"/>
      <c r="Q20" s="5"/>
      <c r="R20" s="5"/>
      <c r="S20" s="5"/>
    </row>
    <row r="21" spans="1:21" ht="17" x14ac:dyDescent="0.2">
      <c r="A21" s="38"/>
      <c r="B21" s="40"/>
      <c r="C21" s="37"/>
      <c r="D21" s="37"/>
      <c r="E21" s="37"/>
      <c r="F21" s="37"/>
      <c r="G21" s="37"/>
      <c r="H21" s="37"/>
      <c r="I21" s="37"/>
      <c r="J21" s="37"/>
      <c r="K21" s="36"/>
      <c r="M21" s="82" t="s">
        <v>21</v>
      </c>
      <c r="N21" s="272" t="s">
        <v>84</v>
      </c>
      <c r="O21" s="273"/>
      <c r="P21" s="273"/>
      <c r="Q21" s="273"/>
      <c r="R21" s="96"/>
      <c r="S21" s="5"/>
    </row>
    <row r="22" spans="1:21" ht="17" x14ac:dyDescent="0.2">
      <c r="A22" s="38"/>
      <c r="B22" s="40"/>
      <c r="C22" s="62" t="s">
        <v>21</v>
      </c>
      <c r="D22" s="263" t="s">
        <v>90</v>
      </c>
      <c r="E22" s="264"/>
      <c r="F22" s="264"/>
      <c r="G22" s="265"/>
      <c r="H22" s="37"/>
      <c r="I22" s="37"/>
      <c r="J22" s="37"/>
      <c r="K22" s="36"/>
      <c r="M22" s="80" t="s">
        <v>17</v>
      </c>
      <c r="N22" s="78">
        <v>12</v>
      </c>
      <c r="O22" s="78">
        <v>24</v>
      </c>
      <c r="P22" s="78">
        <v>36</v>
      </c>
      <c r="Q22" s="78">
        <v>48</v>
      </c>
      <c r="R22" s="5"/>
      <c r="S22" s="5"/>
    </row>
    <row r="23" spans="1:21" x14ac:dyDescent="0.2">
      <c r="A23" s="38"/>
      <c r="B23" s="40"/>
      <c r="C23" s="42" t="s">
        <v>149</v>
      </c>
      <c r="D23" s="183">
        <v>12</v>
      </c>
      <c r="E23" s="184">
        <v>24</v>
      </c>
      <c r="F23" s="184">
        <v>36</v>
      </c>
      <c r="G23" s="138">
        <v>48</v>
      </c>
      <c r="H23" s="37"/>
      <c r="I23" s="37"/>
      <c r="J23" s="37"/>
      <c r="K23" s="36"/>
      <c r="M23" s="76">
        <f>M14</f>
        <v>2013</v>
      </c>
      <c r="N23" s="84">
        <f>D34</f>
        <v>132</v>
      </c>
      <c r="O23" s="94">
        <f>($D41-$D$27)/(1-$N$17)*(O$17-N$17)</f>
        <v>44.000000000000014</v>
      </c>
      <c r="P23" s="94">
        <f>($D41-$D$27)/(1-$N$17)*(P$17-O$17)</f>
        <v>32.999999999999979</v>
      </c>
      <c r="Q23" s="94">
        <f>($D41-$D$27)/(1-$N$17)*(Q$17-P$17)</f>
        <v>11.000000000000011</v>
      </c>
      <c r="R23" s="5"/>
      <c r="S23" s="5"/>
    </row>
    <row r="24" spans="1:21" x14ac:dyDescent="0.2">
      <c r="A24" s="38"/>
      <c r="B24" s="40"/>
      <c r="C24" s="62">
        <v>2010</v>
      </c>
      <c r="D24" s="202">
        <v>100</v>
      </c>
      <c r="E24" s="221">
        <v>150</v>
      </c>
      <c r="F24" s="221">
        <v>180</v>
      </c>
      <c r="G24" s="220">
        <v>200</v>
      </c>
      <c r="H24" s="37"/>
      <c r="I24" s="37"/>
      <c r="J24" s="37"/>
      <c r="K24" s="36"/>
      <c r="M24" s="5"/>
      <c r="N24" s="5"/>
      <c r="O24" s="5"/>
      <c r="P24" s="5"/>
      <c r="Q24" s="5"/>
      <c r="R24" s="5"/>
      <c r="S24" s="5"/>
    </row>
    <row r="25" spans="1:21" x14ac:dyDescent="0.2">
      <c r="A25" s="38"/>
      <c r="B25" s="40"/>
      <c r="C25" s="58">
        <v>2011</v>
      </c>
      <c r="D25" s="217">
        <v>110</v>
      </c>
      <c r="E25" s="49">
        <v>165</v>
      </c>
      <c r="F25" s="49">
        <v>209</v>
      </c>
      <c r="G25" s="216"/>
      <c r="H25" s="37"/>
      <c r="I25" s="37"/>
      <c r="J25" s="37"/>
      <c r="K25" s="36"/>
      <c r="M25" s="64" t="s">
        <v>80</v>
      </c>
      <c r="N25" s="5"/>
      <c r="O25" s="5"/>
      <c r="P25" s="5"/>
      <c r="Q25" s="5"/>
      <c r="R25" s="5"/>
      <c r="S25" s="5"/>
    </row>
    <row r="26" spans="1:21" x14ac:dyDescent="0.2">
      <c r="A26" s="38"/>
      <c r="B26" s="37"/>
      <c r="C26" s="58">
        <v>2012</v>
      </c>
      <c r="D26" s="217">
        <v>90</v>
      </c>
      <c r="E26" s="49">
        <v>144</v>
      </c>
      <c r="F26" s="49"/>
      <c r="G26" s="216"/>
      <c r="H26" s="37"/>
      <c r="I26" s="37"/>
      <c r="J26" s="37"/>
      <c r="K26" s="36"/>
      <c r="M26" s="64"/>
      <c r="N26" s="5"/>
      <c r="O26" s="5"/>
      <c r="P26" s="5"/>
      <c r="Q26" s="5"/>
      <c r="R26" s="5"/>
      <c r="S26" s="5"/>
    </row>
    <row r="27" spans="1:21" ht="17" x14ac:dyDescent="0.2">
      <c r="A27" s="38"/>
      <c r="B27" s="37"/>
      <c r="C27" s="42">
        <v>2013</v>
      </c>
      <c r="D27" s="196">
        <v>132</v>
      </c>
      <c r="E27" s="214"/>
      <c r="F27" s="214"/>
      <c r="G27" s="213"/>
      <c r="H27" s="37"/>
      <c r="I27" s="37"/>
      <c r="J27" s="37"/>
      <c r="K27" s="36"/>
      <c r="M27" s="82" t="s">
        <v>21</v>
      </c>
      <c r="N27" s="272" t="s">
        <v>412</v>
      </c>
      <c r="O27" s="273"/>
      <c r="P27" s="273"/>
      <c r="Q27" s="273"/>
      <c r="R27" s="5"/>
      <c r="S27" s="5" t="s">
        <v>411</v>
      </c>
    </row>
    <row r="28" spans="1:21" ht="17" x14ac:dyDescent="0.2">
      <c r="A28" s="38"/>
      <c r="B28" s="37"/>
      <c r="C28" s="40"/>
      <c r="D28" s="49"/>
      <c r="E28" s="49"/>
      <c r="F28" s="49"/>
      <c r="G28" s="49"/>
      <c r="H28" s="37"/>
      <c r="I28" s="37"/>
      <c r="J28" s="37"/>
      <c r="K28" s="36"/>
      <c r="M28" s="80" t="s">
        <v>17</v>
      </c>
      <c r="N28" s="78">
        <v>12</v>
      </c>
      <c r="O28" s="78">
        <v>24</v>
      </c>
      <c r="P28" s="78">
        <v>36</v>
      </c>
      <c r="Q28" s="78">
        <v>48</v>
      </c>
      <c r="R28" s="5"/>
      <c r="S28" s="78">
        <v>12</v>
      </c>
      <c r="T28" s="78">
        <v>24</v>
      </c>
      <c r="U28" s="78">
        <v>36</v>
      </c>
    </row>
    <row r="29" spans="1:21" x14ac:dyDescent="0.2">
      <c r="A29" s="38"/>
      <c r="B29" s="37"/>
      <c r="C29" s="62" t="s">
        <v>21</v>
      </c>
      <c r="D29" s="263" t="s">
        <v>153</v>
      </c>
      <c r="E29" s="264"/>
      <c r="F29" s="264"/>
      <c r="G29" s="265"/>
      <c r="H29" s="37"/>
      <c r="I29" s="37"/>
      <c r="J29" s="37"/>
      <c r="K29" s="36"/>
      <c r="M29" s="76">
        <f>M11</f>
        <v>2010</v>
      </c>
      <c r="N29" s="85">
        <f>D17/D31</f>
        <v>10000</v>
      </c>
      <c r="O29" s="85">
        <f>(E17-D17)/E31</f>
        <v>15000</v>
      </c>
      <c r="P29" s="85">
        <f>(F17-E17)/F31</f>
        <v>20000</v>
      </c>
      <c r="Q29" s="85">
        <f>(G17-F17)/G31</f>
        <v>25000</v>
      </c>
      <c r="R29" s="5"/>
      <c r="S29" s="140">
        <f>N30/N29-1</f>
        <v>0.10000000000000009</v>
      </c>
      <c r="T29" s="140">
        <f>O30/O29-1</f>
        <v>0.10000000000000009</v>
      </c>
      <c r="U29" s="140">
        <f>P30/P29-1</f>
        <v>7.0000000000000062E-2</v>
      </c>
    </row>
    <row r="30" spans="1:21" x14ac:dyDescent="0.2">
      <c r="A30" s="38"/>
      <c r="B30" s="37"/>
      <c r="C30" s="42" t="s">
        <v>149</v>
      </c>
      <c r="D30" s="183">
        <v>12</v>
      </c>
      <c r="E30" s="184">
        <v>24</v>
      </c>
      <c r="F30" s="184">
        <v>36</v>
      </c>
      <c r="G30" s="138">
        <v>48</v>
      </c>
      <c r="H30" s="37"/>
      <c r="I30" s="37"/>
      <c r="J30" s="37"/>
      <c r="K30" s="36"/>
      <c r="M30" s="76">
        <f>M12</f>
        <v>2011</v>
      </c>
      <c r="N30" s="85">
        <f>D18/D32</f>
        <v>11000</v>
      </c>
      <c r="O30" s="85">
        <f>(E18-D18)/E32</f>
        <v>16500</v>
      </c>
      <c r="P30" s="85">
        <f>(F18-E18)/F32</f>
        <v>21400</v>
      </c>
      <c r="Q30" s="85"/>
      <c r="R30" s="5"/>
      <c r="S30" s="140">
        <f>N31/N30-1</f>
        <v>0.10000000000000009</v>
      </c>
      <c r="T30" s="140">
        <f>O31/O30-1</f>
        <v>7.0000000000000062E-2</v>
      </c>
      <c r="U30" s="218"/>
    </row>
    <row r="31" spans="1:21" x14ac:dyDescent="0.2">
      <c r="A31" s="38"/>
      <c r="B31" s="37"/>
      <c r="C31" s="62">
        <v>2010</v>
      </c>
      <c r="D31" s="202">
        <v>100</v>
      </c>
      <c r="E31" s="221">
        <v>50</v>
      </c>
      <c r="F31" s="221">
        <v>30</v>
      </c>
      <c r="G31" s="220">
        <v>20</v>
      </c>
      <c r="H31" s="37"/>
      <c r="I31" s="37"/>
      <c r="J31" s="37"/>
      <c r="K31" s="36"/>
      <c r="M31" s="76">
        <f>M13</f>
        <v>2012</v>
      </c>
      <c r="N31" s="85">
        <f>D19/D33</f>
        <v>12100</v>
      </c>
      <c r="O31" s="85">
        <f>(E19-D19)/E33</f>
        <v>17655</v>
      </c>
      <c r="P31" s="85"/>
      <c r="Q31" s="85"/>
      <c r="R31" s="5"/>
      <c r="S31" s="140">
        <f>N32/N31-1</f>
        <v>6.9997495617330152E-2</v>
      </c>
      <c r="T31" s="219"/>
      <c r="U31" s="218"/>
    </row>
    <row r="32" spans="1:21" x14ac:dyDescent="0.2">
      <c r="A32" s="38"/>
      <c r="B32" s="37"/>
      <c r="C32" s="58">
        <v>2011</v>
      </c>
      <c r="D32" s="217">
        <v>110</v>
      </c>
      <c r="E32" s="49">
        <v>55</v>
      </c>
      <c r="F32" s="49">
        <v>44</v>
      </c>
      <c r="G32" s="216"/>
      <c r="H32" s="37"/>
      <c r="I32" s="37"/>
      <c r="J32" s="37"/>
      <c r="K32" s="36"/>
      <c r="M32" s="76">
        <f>M14</f>
        <v>2013</v>
      </c>
      <c r="N32" s="85">
        <f>D20/D34</f>
        <v>12946.969696969696</v>
      </c>
      <c r="O32" s="85"/>
      <c r="P32" s="85"/>
      <c r="Q32" s="85"/>
      <c r="R32" s="5"/>
      <c r="S32" s="5"/>
    </row>
    <row r="33" spans="1:21" x14ac:dyDescent="0.2">
      <c r="A33" s="38"/>
      <c r="B33" s="37"/>
      <c r="C33" s="58">
        <v>2012</v>
      </c>
      <c r="D33" s="217">
        <v>90</v>
      </c>
      <c r="E33" s="49">
        <v>54</v>
      </c>
      <c r="F33" s="49"/>
      <c r="G33" s="216"/>
      <c r="H33" s="37"/>
      <c r="I33" s="37"/>
      <c r="J33" s="37"/>
      <c r="K33" s="36"/>
      <c r="M33" s="64"/>
      <c r="N33" s="5"/>
      <c r="O33" s="5"/>
      <c r="P33" s="5"/>
      <c r="Q33" s="5"/>
      <c r="R33" s="5"/>
      <c r="S33" s="274" t="s">
        <v>410</v>
      </c>
      <c r="T33" s="274"/>
      <c r="U33" s="215">
        <v>7.0000000000000007E-2</v>
      </c>
    </row>
    <row r="34" spans="1:21" ht="17" x14ac:dyDescent="0.2">
      <c r="A34" s="38"/>
      <c r="B34" s="37"/>
      <c r="C34" s="42">
        <v>2013</v>
      </c>
      <c r="D34" s="196">
        <v>132</v>
      </c>
      <c r="E34" s="214"/>
      <c r="F34" s="214"/>
      <c r="G34" s="213"/>
      <c r="H34" s="37"/>
      <c r="I34" s="37"/>
      <c r="J34" s="37"/>
      <c r="K34" s="36"/>
      <c r="M34" s="82" t="s">
        <v>21</v>
      </c>
      <c r="N34" s="272" t="s">
        <v>78</v>
      </c>
      <c r="O34" s="273"/>
      <c r="P34" s="273"/>
      <c r="Q34" s="273"/>
      <c r="R34" s="5"/>
    </row>
    <row r="35" spans="1:21" ht="17" x14ac:dyDescent="0.2">
      <c r="A35" s="38"/>
      <c r="B35" s="37"/>
      <c r="C35" s="40"/>
      <c r="D35" s="49"/>
      <c r="E35" s="49"/>
      <c r="F35" s="49"/>
      <c r="G35" s="49"/>
      <c r="H35" s="37"/>
      <c r="I35" s="37"/>
      <c r="J35" s="37"/>
      <c r="K35" s="36"/>
      <c r="M35" s="80" t="s">
        <v>17</v>
      </c>
      <c r="N35" s="78">
        <v>12</v>
      </c>
      <c r="O35" s="78">
        <v>24</v>
      </c>
      <c r="P35" s="78">
        <v>36</v>
      </c>
      <c r="Q35" s="78">
        <v>48</v>
      </c>
      <c r="R35" s="5"/>
    </row>
    <row r="36" spans="1:21" x14ac:dyDescent="0.2">
      <c r="A36" s="38"/>
      <c r="B36" s="37"/>
      <c r="C36" s="62" t="s">
        <v>21</v>
      </c>
      <c r="D36" s="212" t="s">
        <v>18</v>
      </c>
      <c r="E36" s="49"/>
      <c r="F36" s="49"/>
      <c r="G36" s="49"/>
      <c r="H36" s="37"/>
      <c r="I36" s="37"/>
      <c r="J36" s="37"/>
      <c r="K36" s="36"/>
      <c r="M36" s="76">
        <f>M11</f>
        <v>2010</v>
      </c>
      <c r="N36" s="85">
        <f>N29*(1+$U$33)^(2013-$M36)</f>
        <v>12250.43</v>
      </c>
      <c r="O36" s="85">
        <f>O29*(1+$U$33)^(2013-$M36)</f>
        <v>18375.645</v>
      </c>
      <c r="P36" s="85">
        <f>P29*(1+$U$33)^(2013-$M36)</f>
        <v>24500.86</v>
      </c>
      <c r="Q36" s="85">
        <f>Q29*(1+$U$33)^(2013-$M36)</f>
        <v>30626.075000000004</v>
      </c>
      <c r="R36" s="5"/>
    </row>
    <row r="37" spans="1:21" x14ac:dyDescent="0.2">
      <c r="A37" s="38"/>
      <c r="B37" s="37"/>
      <c r="C37" s="42" t="s">
        <v>149</v>
      </c>
      <c r="D37" s="53" t="s">
        <v>59</v>
      </c>
      <c r="E37" s="49"/>
      <c r="F37" s="49"/>
      <c r="G37" s="49"/>
      <c r="H37" s="37"/>
      <c r="I37" s="37"/>
      <c r="J37" s="37"/>
      <c r="K37" s="36"/>
      <c r="M37" s="76">
        <f>M12</f>
        <v>2011</v>
      </c>
      <c r="N37" s="85">
        <f>N30*(1+$U$33)^(2013-$M37)</f>
        <v>12593.9</v>
      </c>
      <c r="O37" s="85">
        <f>O30*(1+$U$33)^(2013-$M37)</f>
        <v>18890.850000000002</v>
      </c>
      <c r="P37" s="85">
        <f>P30*(1+$U$33)^(2013-$M37)</f>
        <v>24500.86</v>
      </c>
      <c r="Q37" s="85"/>
      <c r="R37" s="5"/>
    </row>
    <row r="38" spans="1:21" x14ac:dyDescent="0.2">
      <c r="A38" s="38"/>
      <c r="B38" s="37"/>
      <c r="C38" s="62">
        <v>2010</v>
      </c>
      <c r="D38" s="212">
        <v>200</v>
      </c>
      <c r="E38" s="49"/>
      <c r="F38" s="49"/>
      <c r="G38" s="49"/>
      <c r="H38" s="37"/>
      <c r="I38" s="37"/>
      <c r="J38" s="37"/>
      <c r="K38" s="36"/>
      <c r="M38" s="76">
        <f>M13</f>
        <v>2012</v>
      </c>
      <c r="N38" s="85">
        <f>N31*(1+$U$33)^(2013-$M38)</f>
        <v>12947</v>
      </c>
      <c r="O38" s="85">
        <f>O31*(1+$U$33)^(2013-$M38)</f>
        <v>18890.850000000002</v>
      </c>
      <c r="P38" s="85"/>
      <c r="Q38" s="85"/>
      <c r="R38" s="5"/>
    </row>
    <row r="39" spans="1:21" x14ac:dyDescent="0.2">
      <c r="A39" s="38"/>
      <c r="B39" s="37"/>
      <c r="C39" s="58">
        <v>2011</v>
      </c>
      <c r="D39" s="211">
        <v>220</v>
      </c>
      <c r="E39" s="49"/>
      <c r="F39" s="49"/>
      <c r="G39" s="49"/>
      <c r="H39" s="37"/>
      <c r="I39" s="37"/>
      <c r="J39" s="37"/>
      <c r="K39" s="36"/>
      <c r="M39" s="76">
        <f>M14</f>
        <v>2013</v>
      </c>
      <c r="N39" s="85">
        <f>N32*(1+$U$33)^(2013-$M39)</f>
        <v>12946.969696969696</v>
      </c>
      <c r="O39" s="85"/>
      <c r="P39" s="85"/>
      <c r="Q39" s="85"/>
      <c r="R39" s="5"/>
      <c r="S39" s="5"/>
    </row>
    <row r="40" spans="1:21" x14ac:dyDescent="0.2">
      <c r="A40" s="38"/>
      <c r="B40" s="37"/>
      <c r="C40" s="58">
        <v>2012</v>
      </c>
      <c r="D40" s="211">
        <v>180</v>
      </c>
      <c r="E40" s="49"/>
      <c r="F40" s="49"/>
      <c r="G40" s="49"/>
      <c r="H40" s="37"/>
      <c r="I40" s="37"/>
      <c r="J40" s="37"/>
      <c r="K40" s="36"/>
      <c r="M40" s="5"/>
      <c r="N40" s="5"/>
      <c r="O40" s="5"/>
      <c r="P40" s="5"/>
      <c r="Q40" s="5"/>
      <c r="R40" s="5"/>
      <c r="S40" s="5"/>
    </row>
    <row r="41" spans="1:21" x14ac:dyDescent="0.2">
      <c r="A41" s="38"/>
      <c r="B41" s="37"/>
      <c r="C41" s="42">
        <v>2013</v>
      </c>
      <c r="D41" s="53">
        <v>220</v>
      </c>
      <c r="E41" s="49"/>
      <c r="F41" s="49"/>
      <c r="G41" s="49"/>
      <c r="H41" s="37"/>
      <c r="I41" s="37"/>
      <c r="J41" s="37"/>
      <c r="K41" s="36"/>
      <c r="M41" s="1" t="s">
        <v>409</v>
      </c>
      <c r="N41" s="5"/>
      <c r="O41" s="5"/>
      <c r="P41" s="5"/>
      <c r="Q41" s="5"/>
      <c r="R41" s="5"/>
      <c r="S41" s="5"/>
    </row>
    <row r="42" spans="1:21" x14ac:dyDescent="0.2">
      <c r="A42" s="38"/>
      <c r="B42" s="37"/>
      <c r="C42" s="40"/>
      <c r="D42" s="49"/>
      <c r="E42" s="49"/>
      <c r="F42" s="49"/>
      <c r="G42" s="49"/>
      <c r="H42" s="37"/>
      <c r="I42" s="37"/>
      <c r="J42" s="37"/>
      <c r="K42" s="36"/>
      <c r="M42" s="5"/>
      <c r="N42" s="5"/>
      <c r="O42" s="5"/>
      <c r="P42" s="5"/>
      <c r="Q42" s="5"/>
      <c r="R42" s="5"/>
      <c r="S42" s="5"/>
    </row>
    <row r="43" spans="1:21" ht="17" x14ac:dyDescent="0.2">
      <c r="A43" s="38"/>
      <c r="B43" s="37"/>
      <c r="C43" s="40"/>
      <c r="D43" s="49"/>
      <c r="E43" s="49"/>
      <c r="F43" s="49"/>
      <c r="G43" s="49"/>
      <c r="H43" s="37"/>
      <c r="I43" s="37"/>
      <c r="J43" s="37"/>
      <c r="K43" s="36"/>
      <c r="M43" s="82" t="s">
        <v>21</v>
      </c>
      <c r="N43" s="269" t="s">
        <v>75</v>
      </c>
      <c r="O43" s="270"/>
      <c r="P43" s="270"/>
      <c r="Q43" s="270"/>
      <c r="R43" s="5"/>
      <c r="S43" s="5"/>
    </row>
    <row r="44" spans="1:21" ht="17" x14ac:dyDescent="0.2">
      <c r="A44" s="38" t="s">
        <v>40</v>
      </c>
      <c r="B44" s="37" t="s">
        <v>293</v>
      </c>
      <c r="C44" s="276" t="s">
        <v>408</v>
      </c>
      <c r="D44" s="276"/>
      <c r="E44" s="276"/>
      <c r="F44" s="276"/>
      <c r="G44" s="276"/>
      <c r="H44" s="276"/>
      <c r="I44" s="276"/>
      <c r="J44" s="276"/>
      <c r="K44" s="36"/>
      <c r="M44" s="80" t="s">
        <v>17</v>
      </c>
      <c r="N44" s="78">
        <v>12</v>
      </c>
      <c r="O44" s="78">
        <v>24</v>
      </c>
      <c r="P44" s="78">
        <v>36</v>
      </c>
      <c r="Q44" s="78">
        <v>48</v>
      </c>
      <c r="R44" s="5"/>
      <c r="S44" s="5"/>
    </row>
    <row r="45" spans="1:21" x14ac:dyDescent="0.2">
      <c r="A45" s="38"/>
      <c r="B45" s="37"/>
      <c r="C45" s="276"/>
      <c r="D45" s="276"/>
      <c r="E45" s="276"/>
      <c r="F45" s="276"/>
      <c r="G45" s="276"/>
      <c r="H45" s="276"/>
      <c r="I45" s="276"/>
      <c r="J45" s="276"/>
      <c r="K45" s="36"/>
      <c r="M45" s="76">
        <f>M14</f>
        <v>2013</v>
      </c>
      <c r="N45" s="84">
        <f>G13</f>
        <v>0</v>
      </c>
      <c r="O45" s="210">
        <f>AVERAGE(O37:O38)</f>
        <v>18890.850000000002</v>
      </c>
      <c r="P45" s="210">
        <f>AVERAGE(P36:P37)</f>
        <v>24500.86</v>
      </c>
      <c r="Q45" s="210">
        <f>Q36</f>
        <v>30626.075000000004</v>
      </c>
      <c r="R45" s="5"/>
      <c r="S45" s="5"/>
    </row>
    <row r="46" spans="1:21" x14ac:dyDescent="0.2">
      <c r="A46" s="38"/>
      <c r="B46" s="37"/>
      <c r="C46" s="40"/>
      <c r="D46" s="49"/>
      <c r="E46" s="49"/>
      <c r="F46" s="49"/>
      <c r="G46" s="49"/>
      <c r="H46" s="37"/>
      <c r="I46" s="37"/>
      <c r="J46" s="37"/>
      <c r="K46" s="36"/>
      <c r="M46" s="5"/>
      <c r="N46" s="5"/>
      <c r="O46" s="5"/>
      <c r="P46" s="5"/>
      <c r="Q46" s="5"/>
      <c r="R46" s="5"/>
      <c r="S46" s="5"/>
    </row>
    <row r="47" spans="1:21" ht="17" thickBot="1" x14ac:dyDescent="0.25">
      <c r="A47" s="38" t="s">
        <v>36</v>
      </c>
      <c r="B47" s="37" t="s">
        <v>407</v>
      </c>
      <c r="C47" s="39" t="s">
        <v>406</v>
      </c>
      <c r="D47" s="49"/>
      <c r="E47" s="49"/>
      <c r="F47" s="49"/>
      <c r="G47" s="49"/>
      <c r="H47" s="37"/>
      <c r="I47" s="37"/>
      <c r="J47" s="37"/>
      <c r="K47" s="36"/>
      <c r="M47" s="5"/>
      <c r="N47" s="5"/>
      <c r="O47" s="5"/>
      <c r="P47" s="5"/>
      <c r="Q47" s="5"/>
      <c r="R47" s="5"/>
      <c r="S47" s="5"/>
    </row>
    <row r="48" spans="1:21" ht="18" thickBot="1" x14ac:dyDescent="0.25">
      <c r="A48" s="38"/>
      <c r="B48" s="37"/>
      <c r="C48" s="39"/>
      <c r="D48" s="49"/>
      <c r="E48" s="49"/>
      <c r="F48" s="49"/>
      <c r="G48" s="49"/>
      <c r="H48" s="37"/>
      <c r="I48" s="37"/>
      <c r="J48" s="37"/>
      <c r="K48" s="36"/>
      <c r="M48" s="82" t="s">
        <v>21</v>
      </c>
      <c r="N48" s="269" t="s">
        <v>74</v>
      </c>
      <c r="O48" s="270"/>
      <c r="P48" s="270"/>
      <c r="Q48" s="271"/>
      <c r="R48" s="81" t="s">
        <v>73</v>
      </c>
      <c r="S48" s="5"/>
    </row>
    <row r="49" spans="1:19" ht="18" thickBot="1" x14ac:dyDescent="0.25">
      <c r="A49" s="35" t="s">
        <v>32</v>
      </c>
      <c r="B49" s="33"/>
      <c r="C49" s="34"/>
      <c r="D49" s="33"/>
      <c r="E49" s="33"/>
      <c r="F49" s="33"/>
      <c r="G49" s="33"/>
      <c r="H49" s="33"/>
      <c r="I49" s="33"/>
      <c r="J49" s="33"/>
      <c r="K49" s="32"/>
      <c r="M49" s="80" t="s">
        <v>17</v>
      </c>
      <c r="N49" s="79">
        <v>12</v>
      </c>
      <c r="O49" s="78">
        <v>24</v>
      </c>
      <c r="P49" s="78">
        <v>36</v>
      </c>
      <c r="Q49" s="78">
        <v>48</v>
      </c>
      <c r="R49" s="77" t="s">
        <v>72</v>
      </c>
      <c r="S49" s="5"/>
    </row>
    <row r="50" spans="1:19" ht="17" thickBot="1" x14ac:dyDescent="0.25">
      <c r="M50" s="76">
        <f>M14</f>
        <v>2013</v>
      </c>
      <c r="N50" s="75">
        <f>N23*N45</f>
        <v>0</v>
      </c>
      <c r="O50" s="74">
        <f>O23*O45</f>
        <v>831197.40000000037</v>
      </c>
      <c r="P50" s="74">
        <f>P23*P45</f>
        <v>808528.37999999954</v>
      </c>
      <c r="Q50" s="74">
        <f>Q23*Q45</f>
        <v>336886.82500000036</v>
      </c>
      <c r="R50" s="73">
        <f>SUM(O50:Q50)</f>
        <v>1976612.6050000002</v>
      </c>
      <c r="S50" s="5"/>
    </row>
    <row r="51" spans="1:19" x14ac:dyDescent="0.2">
      <c r="S51" s="5"/>
    </row>
    <row r="52" spans="1:19" x14ac:dyDescent="0.2">
      <c r="S52" s="5"/>
    </row>
    <row r="53" spans="1:19" x14ac:dyDescent="0.2">
      <c r="S53" s="5"/>
    </row>
    <row r="54" spans="1:19" x14ac:dyDescent="0.2">
      <c r="M54" s="64" t="s">
        <v>11</v>
      </c>
      <c r="S54" s="5"/>
    </row>
    <row r="56" spans="1:19" x14ac:dyDescent="0.2">
      <c r="M56" s="268" t="s">
        <v>405</v>
      </c>
      <c r="N56" s="268"/>
      <c r="O56" s="268"/>
      <c r="P56" s="268"/>
      <c r="Q56" s="268"/>
      <c r="R56" s="268"/>
      <c r="S56" s="268"/>
    </row>
    <row r="57" spans="1:19" x14ac:dyDescent="0.2">
      <c r="M57" s="268"/>
      <c r="N57" s="268"/>
      <c r="O57" s="268"/>
      <c r="P57" s="268"/>
      <c r="Q57" s="268"/>
      <c r="R57" s="268"/>
      <c r="S57" s="268"/>
    </row>
    <row r="58" spans="1:19" x14ac:dyDescent="0.2">
      <c r="M58" s="268"/>
      <c r="N58" s="268"/>
      <c r="O58" s="268"/>
      <c r="P58" s="268"/>
      <c r="Q58" s="268"/>
      <c r="R58" s="268"/>
      <c r="S58" s="268"/>
    </row>
    <row r="61" spans="1:19" ht="19" x14ac:dyDescent="0.25">
      <c r="M61" s="72" t="s">
        <v>3</v>
      </c>
    </row>
    <row r="62" spans="1:19" x14ac:dyDescent="0.2">
      <c r="M62" s="268" t="s">
        <v>404</v>
      </c>
      <c r="N62" s="268"/>
      <c r="O62" s="268"/>
      <c r="P62" s="268"/>
      <c r="Q62" s="268"/>
      <c r="R62" s="268"/>
      <c r="S62" s="268"/>
    </row>
    <row r="63" spans="1:19" x14ac:dyDescent="0.2">
      <c r="M63" s="268"/>
      <c r="N63" s="268"/>
      <c r="O63" s="268"/>
      <c r="P63" s="268"/>
      <c r="Q63" s="268"/>
      <c r="R63" s="268"/>
      <c r="S63" s="268"/>
    </row>
    <row r="64" spans="1:19" x14ac:dyDescent="0.2">
      <c r="M64" s="268"/>
      <c r="N64" s="268"/>
      <c r="O64" s="268"/>
      <c r="P64" s="268"/>
      <c r="Q64" s="268"/>
      <c r="R64" s="268"/>
      <c r="S64" s="268"/>
    </row>
    <row r="65" spans="13:19" x14ac:dyDescent="0.2">
      <c r="M65" s="268"/>
      <c r="N65" s="268"/>
      <c r="O65" s="268"/>
      <c r="P65" s="268"/>
      <c r="Q65" s="268"/>
      <c r="R65" s="268"/>
      <c r="S65" s="268"/>
    </row>
    <row r="66" spans="13:19" x14ac:dyDescent="0.2">
      <c r="M66" s="268"/>
      <c r="N66" s="268"/>
      <c r="O66" s="268"/>
      <c r="P66" s="268"/>
      <c r="Q66" s="268"/>
      <c r="R66" s="268"/>
      <c r="S66" s="268"/>
    </row>
    <row r="70" spans="13:19" ht="19" x14ac:dyDescent="0.25">
      <c r="M70" s="72" t="s">
        <v>1</v>
      </c>
    </row>
    <row r="71" spans="13:19" x14ac:dyDescent="0.2">
      <c r="M71" s="1" t="s">
        <v>71</v>
      </c>
    </row>
  </sheetData>
  <mergeCells count="15">
    <mergeCell ref="C44:J45"/>
    <mergeCell ref="D15:G15"/>
    <mergeCell ref="D22:G22"/>
    <mergeCell ref="D29:G29"/>
    <mergeCell ref="M4:S5"/>
    <mergeCell ref="N9:Q9"/>
    <mergeCell ref="N21:Q21"/>
    <mergeCell ref="N34:Q34"/>
    <mergeCell ref="C4:J6"/>
    <mergeCell ref="M56:S58"/>
    <mergeCell ref="M62:S66"/>
    <mergeCell ref="N43:Q43"/>
    <mergeCell ref="N48:Q48"/>
    <mergeCell ref="N27:Q27"/>
    <mergeCell ref="S33:T3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720E5-3D81-BB4C-AE6B-68601009D157}">
  <dimension ref="A1:T65"/>
  <sheetViews>
    <sheetView workbookViewId="0"/>
  </sheetViews>
  <sheetFormatPr baseColWidth="10" defaultColWidth="11" defaultRowHeight="16" outlineLevelCol="1" x14ac:dyDescent="0.2"/>
  <cols>
    <col min="1" max="1" width="4" style="2" customWidth="1"/>
    <col min="2" max="2" width="11.5" style="1" customWidth="1"/>
    <col min="3" max="12" width="11" style="1"/>
    <col min="13" max="19" width="10.83203125" style="1" hidden="1" customWidth="1" outlineLevel="1"/>
    <col min="20" max="20" width="10.83203125" style="1" customWidth="1" collapsed="1"/>
    <col min="21" max="22" width="10.83203125" style="1" customWidth="1"/>
    <col min="23" max="16384" width="11" style="1"/>
  </cols>
  <sheetData>
    <row r="1" spans="1:19" x14ac:dyDescent="0.2">
      <c r="A1" s="71"/>
      <c r="B1" s="70" t="s">
        <v>70</v>
      </c>
      <c r="C1" s="69" t="s">
        <v>344</v>
      </c>
      <c r="D1" s="69" t="s">
        <v>68</v>
      </c>
      <c r="E1" s="69" t="s">
        <v>343</v>
      </c>
      <c r="F1" s="68"/>
      <c r="G1" s="68"/>
      <c r="H1" s="68"/>
      <c r="I1" s="68"/>
      <c r="J1" s="68"/>
      <c r="K1" s="67"/>
      <c r="L1" s="64" t="s">
        <v>66</v>
      </c>
    </row>
    <row r="2" spans="1:19" x14ac:dyDescent="0.2">
      <c r="A2" s="38"/>
      <c r="B2" s="66" t="s">
        <v>65</v>
      </c>
      <c r="C2" s="65">
        <v>2.5</v>
      </c>
      <c r="D2" s="37"/>
      <c r="E2" s="37"/>
      <c r="F2" s="37"/>
      <c r="G2" s="37"/>
      <c r="H2" s="37"/>
      <c r="I2" s="37"/>
      <c r="J2" s="37"/>
      <c r="K2" s="36"/>
    </row>
    <row r="3" spans="1:19" x14ac:dyDescent="0.2">
      <c r="A3" s="38"/>
      <c r="B3" s="37"/>
      <c r="C3" s="37"/>
      <c r="D3" s="37"/>
      <c r="E3" s="37"/>
      <c r="F3" s="37"/>
      <c r="G3" s="37"/>
      <c r="H3" s="37"/>
      <c r="I3" s="37"/>
      <c r="J3" s="37"/>
      <c r="K3" s="36"/>
      <c r="M3" s="64" t="s">
        <v>64</v>
      </c>
    </row>
    <row r="4" spans="1:19" x14ac:dyDescent="0.2">
      <c r="A4" s="38"/>
      <c r="B4" s="37"/>
      <c r="C4" s="37" t="s">
        <v>342</v>
      </c>
      <c r="D4" s="37"/>
      <c r="E4" s="37"/>
      <c r="F4" s="37"/>
      <c r="G4" s="37"/>
      <c r="H4" s="37"/>
      <c r="I4" s="37"/>
      <c r="J4" s="37"/>
      <c r="K4" s="36"/>
      <c r="M4" s="5"/>
      <c r="N4" s="5"/>
      <c r="O4" s="5"/>
      <c r="P4" s="5"/>
      <c r="Q4" s="5"/>
      <c r="R4" s="5"/>
      <c r="S4" s="5"/>
    </row>
    <row r="5" spans="1:19" ht="17" x14ac:dyDescent="0.2">
      <c r="A5" s="38"/>
      <c r="B5" s="37"/>
      <c r="C5" s="37"/>
      <c r="D5" s="37"/>
      <c r="E5" s="37"/>
      <c r="F5" s="37"/>
      <c r="G5" s="37"/>
      <c r="H5" s="37"/>
      <c r="I5" s="37"/>
      <c r="J5" s="37"/>
      <c r="K5" s="36"/>
      <c r="M5" s="82" t="s">
        <v>21</v>
      </c>
      <c r="N5" s="275" t="s">
        <v>88</v>
      </c>
      <c r="O5" s="266"/>
      <c r="P5" s="266"/>
      <c r="Q5" s="114"/>
      <c r="R5" s="5"/>
      <c r="S5" s="5"/>
    </row>
    <row r="6" spans="1:19" ht="17" x14ac:dyDescent="0.2">
      <c r="A6" s="38"/>
      <c r="B6" s="37"/>
      <c r="C6" s="62" t="s">
        <v>21</v>
      </c>
      <c r="D6" s="265" t="s">
        <v>341</v>
      </c>
      <c r="E6" s="277"/>
      <c r="F6" s="277"/>
      <c r="G6" s="37"/>
      <c r="H6" s="37"/>
      <c r="I6" s="37"/>
      <c r="J6" s="37"/>
      <c r="K6" s="36"/>
      <c r="M6" s="80" t="s">
        <v>17</v>
      </c>
      <c r="N6" s="78">
        <v>12</v>
      </c>
      <c r="O6" s="78">
        <v>24</v>
      </c>
      <c r="P6" s="78">
        <v>36</v>
      </c>
      <c r="Q6" s="97"/>
      <c r="R6" s="5"/>
      <c r="S6" s="5"/>
    </row>
    <row r="7" spans="1:19" x14ac:dyDescent="0.2">
      <c r="A7" s="38"/>
      <c r="B7" s="37"/>
      <c r="C7" s="42" t="s">
        <v>17</v>
      </c>
      <c r="D7" s="138" t="s">
        <v>339</v>
      </c>
      <c r="E7" s="51" t="s">
        <v>338</v>
      </c>
      <c r="F7" s="51" t="s">
        <v>337</v>
      </c>
      <c r="G7" s="37"/>
      <c r="H7" s="37"/>
      <c r="I7" s="37"/>
      <c r="J7" s="37"/>
      <c r="K7" s="36"/>
      <c r="M7" s="76">
        <f>C8</f>
        <v>2012</v>
      </c>
      <c r="N7" s="97">
        <f>D8/$D21</f>
        <v>0.8902439024390244</v>
      </c>
      <c r="O7" s="97">
        <f>E8/$D21</f>
        <v>0.97560975609756095</v>
      </c>
      <c r="P7" s="97">
        <f>F8/$D21</f>
        <v>1</v>
      </c>
      <c r="Q7" s="97"/>
      <c r="R7" s="5"/>
      <c r="S7" s="5"/>
    </row>
    <row r="8" spans="1:19" x14ac:dyDescent="0.2">
      <c r="A8" s="38"/>
      <c r="B8" s="37"/>
      <c r="C8" s="42">
        <v>2012</v>
      </c>
      <c r="D8" s="51">
        <v>730</v>
      </c>
      <c r="E8" s="51">
        <v>800</v>
      </c>
      <c r="F8" s="51">
        <v>820</v>
      </c>
      <c r="G8" s="37"/>
      <c r="H8" s="37"/>
      <c r="I8" s="37"/>
      <c r="J8" s="37"/>
      <c r="K8" s="36"/>
      <c r="M8" s="76">
        <f>C9</f>
        <v>2013</v>
      </c>
      <c r="N8" s="97">
        <f>D9/$D22</f>
        <v>0.88652482269503541</v>
      </c>
      <c r="O8" s="97">
        <f>E9/$D22</f>
        <v>0.97517730496453903</v>
      </c>
      <c r="P8" s="97"/>
      <c r="Q8" s="97"/>
      <c r="R8" s="5"/>
      <c r="S8" s="5"/>
    </row>
    <row r="9" spans="1:19" x14ac:dyDescent="0.2">
      <c r="A9" s="38"/>
      <c r="B9" s="37"/>
      <c r="C9" s="51">
        <v>2013</v>
      </c>
      <c r="D9" s="51">
        <v>750</v>
      </c>
      <c r="E9" s="51">
        <v>825</v>
      </c>
      <c r="F9" s="180"/>
      <c r="G9" s="37"/>
      <c r="H9" s="37"/>
      <c r="I9" s="37"/>
      <c r="J9" s="37"/>
      <c r="K9" s="36"/>
      <c r="M9" s="76">
        <f>C10</f>
        <v>2014</v>
      </c>
      <c r="N9" s="97">
        <f>D10/$D23</f>
        <v>0.88672768878718533</v>
      </c>
      <c r="O9" s="97"/>
      <c r="P9" s="97"/>
      <c r="Q9" s="97"/>
      <c r="R9" s="5"/>
      <c r="S9" s="5"/>
    </row>
    <row r="10" spans="1:19" x14ac:dyDescent="0.2">
      <c r="A10" s="38"/>
      <c r="B10" s="37"/>
      <c r="C10" s="51">
        <v>2014</v>
      </c>
      <c r="D10" s="51">
        <v>775</v>
      </c>
      <c r="E10" s="180"/>
      <c r="F10" s="180"/>
      <c r="G10" s="37"/>
      <c r="H10" s="37"/>
      <c r="I10" s="37"/>
      <c r="J10" s="37"/>
      <c r="K10" s="36"/>
      <c r="M10" s="5"/>
      <c r="N10" s="5"/>
      <c r="O10" s="5"/>
      <c r="P10" s="5"/>
      <c r="Q10" s="5"/>
      <c r="R10" s="5"/>
      <c r="S10" s="5"/>
    </row>
    <row r="11" spans="1:19" x14ac:dyDescent="0.2">
      <c r="A11" s="38"/>
      <c r="B11" s="37"/>
      <c r="C11" s="37"/>
      <c r="D11" s="37"/>
      <c r="E11" s="37"/>
      <c r="F11" s="37"/>
      <c r="G11" s="37"/>
      <c r="H11" s="37"/>
      <c r="I11" s="37"/>
      <c r="J11" s="37"/>
      <c r="K11" s="36"/>
      <c r="M11" s="80"/>
      <c r="N11" s="78">
        <v>12</v>
      </c>
      <c r="O11" s="78">
        <v>24</v>
      </c>
      <c r="P11" s="78">
        <v>36</v>
      </c>
      <c r="Q11" s="182"/>
      <c r="R11" s="26"/>
      <c r="S11" s="5"/>
    </row>
    <row r="12" spans="1:19" ht="17" x14ac:dyDescent="0.2">
      <c r="A12" s="38"/>
      <c r="B12" s="37"/>
      <c r="C12" s="62" t="s">
        <v>21</v>
      </c>
      <c r="D12" s="265" t="s">
        <v>340</v>
      </c>
      <c r="E12" s="277"/>
      <c r="F12" s="277"/>
      <c r="G12" s="37"/>
      <c r="H12" s="37"/>
      <c r="I12" s="37"/>
      <c r="J12" s="37"/>
      <c r="K12" s="36"/>
      <c r="M12" s="82" t="s">
        <v>77</v>
      </c>
      <c r="N12" s="97">
        <f>AVERAGE(N7:N9)</f>
        <v>0.88783213797374838</v>
      </c>
      <c r="O12" s="97">
        <f>AVERAGE(O7:O9)</f>
        <v>0.97539353053104993</v>
      </c>
      <c r="P12" s="97">
        <f>AVERAGE(P7:P9)</f>
        <v>1</v>
      </c>
      <c r="Q12" s="182"/>
      <c r="R12" s="26"/>
      <c r="S12" s="5"/>
    </row>
    <row r="13" spans="1:19" x14ac:dyDescent="0.2">
      <c r="A13" s="38"/>
      <c r="B13" s="40"/>
      <c r="C13" s="42" t="s">
        <v>17</v>
      </c>
      <c r="D13" s="138" t="s">
        <v>339</v>
      </c>
      <c r="E13" s="51" t="s">
        <v>338</v>
      </c>
      <c r="F13" s="51" t="s">
        <v>337</v>
      </c>
      <c r="G13" s="37"/>
      <c r="H13" s="37"/>
      <c r="I13" s="37"/>
      <c r="J13" s="37"/>
      <c r="K13" s="36"/>
      <c r="M13" s="5"/>
      <c r="N13" s="5"/>
      <c r="O13" s="5"/>
      <c r="P13" s="5"/>
      <c r="Q13" s="5"/>
      <c r="R13" s="5"/>
      <c r="S13" s="5"/>
    </row>
    <row r="14" spans="1:19" x14ac:dyDescent="0.2">
      <c r="A14" s="38"/>
      <c r="B14" s="40"/>
      <c r="C14" s="42">
        <v>2012</v>
      </c>
      <c r="D14" s="50">
        <v>2250</v>
      </c>
      <c r="E14" s="50">
        <v>2600</v>
      </c>
      <c r="F14" s="50">
        <v>2700</v>
      </c>
      <c r="G14" s="37"/>
      <c r="H14" s="37"/>
      <c r="I14" s="37"/>
      <c r="J14" s="37"/>
      <c r="K14" s="36"/>
      <c r="M14" s="5"/>
      <c r="N14" s="5"/>
      <c r="O14" s="5"/>
      <c r="P14" s="5"/>
      <c r="Q14" s="5"/>
      <c r="R14" s="5"/>
      <c r="S14" s="5"/>
    </row>
    <row r="15" spans="1:19" ht="17" x14ac:dyDescent="0.2">
      <c r="A15" s="38"/>
      <c r="B15" s="40"/>
      <c r="C15" s="51">
        <v>2013</v>
      </c>
      <c r="D15" s="50">
        <v>2600</v>
      </c>
      <c r="E15" s="50">
        <v>3000</v>
      </c>
      <c r="F15" s="180"/>
      <c r="G15" s="37"/>
      <c r="H15" s="37"/>
      <c r="I15" s="37"/>
      <c r="J15" s="37"/>
      <c r="K15" s="36"/>
      <c r="M15" s="82" t="s">
        <v>21</v>
      </c>
      <c r="N15" s="181" t="s">
        <v>84</v>
      </c>
      <c r="O15" s="96"/>
      <c r="P15" s="96"/>
      <c r="Q15" s="96"/>
      <c r="R15" s="96"/>
      <c r="S15" s="5"/>
    </row>
    <row r="16" spans="1:19" ht="17" x14ac:dyDescent="0.2">
      <c r="A16" s="38"/>
      <c r="B16" s="40"/>
      <c r="C16" s="51">
        <v>2014</v>
      </c>
      <c r="D16" s="51">
        <v>2000</v>
      </c>
      <c r="E16" s="180"/>
      <c r="F16" s="180"/>
      <c r="G16" s="37"/>
      <c r="H16" s="37"/>
      <c r="I16" s="37"/>
      <c r="J16" s="37"/>
      <c r="K16" s="36"/>
      <c r="M16" s="80" t="s">
        <v>17</v>
      </c>
      <c r="N16" s="78">
        <v>12</v>
      </c>
      <c r="O16" s="78">
        <v>24</v>
      </c>
      <c r="P16" s="80">
        <v>36</v>
      </c>
      <c r="Q16" s="78" t="s">
        <v>18</v>
      </c>
      <c r="R16" s="5"/>
      <c r="S16" s="5"/>
    </row>
    <row r="17" spans="1:19" x14ac:dyDescent="0.2">
      <c r="A17" s="38"/>
      <c r="B17" s="40"/>
      <c r="C17" s="37"/>
      <c r="D17" s="37"/>
      <c r="E17" s="37"/>
      <c r="F17" s="37"/>
      <c r="G17" s="37"/>
      <c r="H17" s="37"/>
      <c r="I17" s="37"/>
      <c r="J17" s="37"/>
      <c r="K17" s="36"/>
      <c r="M17" s="76">
        <f>M7</f>
        <v>2012</v>
      </c>
      <c r="N17" s="84">
        <f>D8</f>
        <v>730</v>
      </c>
      <c r="O17" s="84">
        <f>E8-D8</f>
        <v>70</v>
      </c>
      <c r="P17" s="179">
        <f>F8-E8</f>
        <v>20</v>
      </c>
      <c r="Q17" s="175">
        <f>SUM(N17:P17)</f>
        <v>820</v>
      </c>
      <c r="S17" s="5"/>
    </row>
    <row r="18" spans="1:19" x14ac:dyDescent="0.2">
      <c r="A18" s="38"/>
      <c r="B18" s="40"/>
      <c r="C18" s="178"/>
      <c r="D18" s="62" t="s">
        <v>18</v>
      </c>
      <c r="E18" s="37"/>
      <c r="F18" s="37"/>
      <c r="G18" s="37"/>
      <c r="H18" s="37"/>
      <c r="I18" s="37"/>
      <c r="J18" s="37"/>
      <c r="K18" s="36"/>
      <c r="M18" s="76">
        <f>M8</f>
        <v>2013</v>
      </c>
      <c r="N18" s="84">
        <f>D9</f>
        <v>750</v>
      </c>
      <c r="O18" s="84">
        <f>E9-D9</f>
        <v>75</v>
      </c>
      <c r="P18" s="177">
        <f>($D22-$E$9)/(1-O$12)*(P$12-O$12)</f>
        <v>21</v>
      </c>
      <c r="Q18" s="94">
        <f>SUM(N18:P18)</f>
        <v>846</v>
      </c>
      <c r="R18" s="5"/>
      <c r="S18" s="5"/>
    </row>
    <row r="19" spans="1:19" x14ac:dyDescent="0.2">
      <c r="A19" s="38"/>
      <c r="B19" s="40"/>
      <c r="C19" s="58" t="s">
        <v>21</v>
      </c>
      <c r="D19" s="58" t="s">
        <v>54</v>
      </c>
      <c r="E19" s="37"/>
      <c r="F19" s="37"/>
      <c r="G19" s="37"/>
      <c r="H19" s="37"/>
      <c r="I19" s="37"/>
      <c r="J19" s="37"/>
      <c r="K19" s="36"/>
      <c r="M19" s="76">
        <f>M9</f>
        <v>2014</v>
      </c>
      <c r="N19" s="84">
        <f>D10</f>
        <v>775</v>
      </c>
      <c r="O19" s="94">
        <f>($D23-$D$10)/(1-$N$12)*(O$12-N$12)</f>
        <v>77.282188557218561</v>
      </c>
      <c r="P19" s="177">
        <f>($D23-$D$10)/(1-$N$12)*(P$12-O$12)</f>
        <v>21.717811442781432</v>
      </c>
      <c r="Q19" s="94">
        <f>SUM(N19:P19)</f>
        <v>874</v>
      </c>
      <c r="R19" s="5" t="s">
        <v>336</v>
      </c>
      <c r="S19" s="5"/>
    </row>
    <row r="20" spans="1:19" x14ac:dyDescent="0.2">
      <c r="A20" s="38"/>
      <c r="B20" s="40"/>
      <c r="C20" s="42" t="s">
        <v>17</v>
      </c>
      <c r="D20" s="42" t="s">
        <v>53</v>
      </c>
      <c r="E20" s="37"/>
      <c r="F20" s="37"/>
      <c r="G20" s="37"/>
      <c r="H20" s="37"/>
      <c r="I20" s="37"/>
      <c r="J20" s="37"/>
      <c r="K20" s="36"/>
      <c r="M20" s="5"/>
      <c r="N20" s="5"/>
      <c r="O20" s="5"/>
      <c r="P20" s="5"/>
      <c r="Q20" s="5"/>
      <c r="R20" s="5"/>
      <c r="S20" s="5"/>
    </row>
    <row r="21" spans="1:19" ht="17" customHeight="1" x14ac:dyDescent="0.2">
      <c r="A21" s="38"/>
      <c r="B21" s="40"/>
      <c r="C21" s="51">
        <v>2012</v>
      </c>
      <c r="D21" s="51">
        <v>820</v>
      </c>
      <c r="E21" s="37"/>
      <c r="F21" s="37"/>
      <c r="G21" s="37"/>
      <c r="H21" s="37"/>
      <c r="I21" s="37"/>
      <c r="J21" s="37"/>
      <c r="K21" s="36"/>
      <c r="M21" s="82" t="s">
        <v>21</v>
      </c>
      <c r="N21" s="269" t="s">
        <v>151</v>
      </c>
      <c r="O21" s="270"/>
      <c r="P21" s="270"/>
      <c r="Q21" s="176"/>
      <c r="R21" s="5"/>
      <c r="S21" s="5"/>
    </row>
    <row r="22" spans="1:19" ht="17" x14ac:dyDescent="0.2">
      <c r="A22" s="38"/>
      <c r="B22" s="40"/>
      <c r="C22" s="51">
        <v>2013</v>
      </c>
      <c r="D22" s="51">
        <v>846</v>
      </c>
      <c r="E22" s="37"/>
      <c r="F22" s="37"/>
      <c r="G22" s="37"/>
      <c r="H22" s="37"/>
      <c r="I22" s="37"/>
      <c r="J22" s="37"/>
      <c r="K22" s="36"/>
      <c r="M22" s="80" t="s">
        <v>17</v>
      </c>
      <c r="N22" s="78">
        <v>12</v>
      </c>
      <c r="O22" s="78">
        <v>24</v>
      </c>
      <c r="P22" s="78">
        <v>36</v>
      </c>
      <c r="Q22" s="85"/>
      <c r="R22" s="5"/>
      <c r="S22" s="5"/>
    </row>
    <row r="23" spans="1:19" x14ac:dyDescent="0.2">
      <c r="A23" s="38"/>
      <c r="B23" s="37"/>
      <c r="C23" s="51">
        <v>2014</v>
      </c>
      <c r="D23" s="51">
        <v>874</v>
      </c>
      <c r="E23" s="37"/>
      <c r="F23" s="37"/>
      <c r="G23" s="37"/>
      <c r="H23" s="37"/>
      <c r="I23" s="37"/>
      <c r="J23" s="37"/>
      <c r="K23" s="36"/>
      <c r="M23" s="76">
        <f>M7</f>
        <v>2012</v>
      </c>
      <c r="N23" s="85">
        <f>D14*1000/N17</f>
        <v>3082.1917808219177</v>
      </c>
      <c r="O23" s="85">
        <f>(E14-D14)*1000/O17</f>
        <v>5000</v>
      </c>
      <c r="P23" s="85">
        <f>(F14-E14)*1000/P17</f>
        <v>5000</v>
      </c>
      <c r="Q23" s="85"/>
      <c r="R23" s="5"/>
      <c r="S23" s="5"/>
    </row>
    <row r="24" spans="1:19" x14ac:dyDescent="0.2">
      <c r="A24" s="38"/>
      <c r="B24" s="37"/>
      <c r="C24" s="40"/>
      <c r="D24" s="40"/>
      <c r="E24" s="37"/>
      <c r="F24" s="37"/>
      <c r="G24" s="37"/>
      <c r="H24" s="37"/>
      <c r="I24" s="37"/>
      <c r="J24" s="37"/>
      <c r="K24" s="36"/>
      <c r="M24" s="76">
        <f>M8</f>
        <v>2013</v>
      </c>
      <c r="N24" s="85">
        <f>D15*1000/D9</f>
        <v>3466.6666666666665</v>
      </c>
      <c r="O24" s="85">
        <f>(E15-D15)*1000/O18</f>
        <v>5333.333333333333</v>
      </c>
      <c r="P24" s="85"/>
      <c r="Q24" s="85"/>
      <c r="R24" s="5"/>
      <c r="S24" s="5"/>
    </row>
    <row r="25" spans="1:19" x14ac:dyDescent="0.2">
      <c r="A25" s="38"/>
      <c r="B25" s="37"/>
      <c r="C25" s="39" t="s">
        <v>335</v>
      </c>
      <c r="D25" s="40"/>
      <c r="E25" s="37"/>
      <c r="F25" s="37"/>
      <c r="G25" s="37"/>
      <c r="H25" s="37"/>
      <c r="I25" s="37"/>
      <c r="J25" s="37"/>
      <c r="K25" s="36"/>
      <c r="M25" s="76">
        <f>M9</f>
        <v>2014</v>
      </c>
      <c r="N25" s="85">
        <f>D16*1000/D10</f>
        <v>2580.6451612903224</v>
      </c>
      <c r="O25" s="85"/>
      <c r="P25" s="85"/>
      <c r="Q25" s="85"/>
      <c r="R25" s="5"/>
      <c r="S25" s="5"/>
    </row>
    <row r="26" spans="1:19" x14ac:dyDescent="0.2">
      <c r="A26" s="38"/>
      <c r="B26" s="37"/>
      <c r="C26" s="39" t="s">
        <v>334</v>
      </c>
      <c r="D26" s="40"/>
      <c r="E26" s="37"/>
      <c r="F26" s="37"/>
      <c r="G26" s="37"/>
      <c r="H26" s="37"/>
      <c r="I26" s="37"/>
      <c r="J26" s="37"/>
      <c r="K26" s="36"/>
      <c r="M26" s="5"/>
      <c r="N26" s="5"/>
      <c r="O26" s="5"/>
      <c r="P26" s="5"/>
      <c r="Q26" s="5"/>
      <c r="R26" s="5"/>
      <c r="S26" s="5"/>
    </row>
    <row r="27" spans="1:19" ht="17" x14ac:dyDescent="0.2">
      <c r="A27" s="38"/>
      <c r="B27" s="37"/>
      <c r="C27" s="39" t="s">
        <v>333</v>
      </c>
      <c r="D27" s="40"/>
      <c r="E27" s="136">
        <v>0.04</v>
      </c>
      <c r="F27" s="37"/>
      <c r="G27" s="37"/>
      <c r="H27" s="37"/>
      <c r="I27" s="37"/>
      <c r="J27" s="37"/>
      <c r="K27" s="36"/>
      <c r="M27" s="82" t="s">
        <v>21</v>
      </c>
      <c r="N27" s="272" t="s">
        <v>332</v>
      </c>
      <c r="O27" s="273"/>
      <c r="P27" s="273"/>
      <c r="Q27" s="96"/>
      <c r="R27" s="5"/>
      <c r="S27" s="5"/>
    </row>
    <row r="28" spans="1:19" ht="17" x14ac:dyDescent="0.2">
      <c r="A28" s="38"/>
      <c r="B28" s="37"/>
      <c r="C28" s="91"/>
      <c r="D28" s="37"/>
      <c r="E28" s="37"/>
      <c r="F28" s="37"/>
      <c r="G28" s="37"/>
      <c r="H28" s="37"/>
      <c r="I28" s="37"/>
      <c r="J28" s="37"/>
      <c r="K28" s="36"/>
      <c r="M28" s="80" t="s">
        <v>17</v>
      </c>
      <c r="N28" s="78">
        <v>12</v>
      </c>
      <c r="O28" s="78">
        <v>24</v>
      </c>
      <c r="P28" s="78">
        <v>36</v>
      </c>
      <c r="Q28" s="96"/>
      <c r="R28" s="5"/>
      <c r="S28" s="5"/>
    </row>
    <row r="29" spans="1:19" x14ac:dyDescent="0.2">
      <c r="A29" s="38" t="s">
        <v>40</v>
      </c>
      <c r="B29" s="37" t="s">
        <v>331</v>
      </c>
      <c r="C29" s="91" t="s">
        <v>330</v>
      </c>
      <c r="D29" s="37"/>
      <c r="E29" s="37"/>
      <c r="F29" s="37"/>
      <c r="G29" s="37"/>
      <c r="H29" s="37"/>
      <c r="I29" s="37"/>
      <c r="J29" s="37"/>
      <c r="K29" s="36"/>
      <c r="M29" s="76">
        <f>M7</f>
        <v>2012</v>
      </c>
      <c r="N29" s="85"/>
      <c r="O29" s="85"/>
      <c r="P29" s="85">
        <f>P23*(1+$E$27)^(2014-$M29)</f>
        <v>5408.0000000000009</v>
      </c>
      <c r="Q29" s="96"/>
      <c r="R29" s="5"/>
      <c r="S29" s="5"/>
    </row>
    <row r="30" spans="1:19" x14ac:dyDescent="0.2">
      <c r="A30" s="38"/>
      <c r="B30" s="37"/>
      <c r="C30" s="91"/>
      <c r="D30" s="37"/>
      <c r="E30" s="37"/>
      <c r="F30" s="37"/>
      <c r="G30" s="37"/>
      <c r="H30" s="37"/>
      <c r="I30" s="37"/>
      <c r="J30" s="37"/>
      <c r="K30" s="36"/>
      <c r="M30" s="76">
        <f>M8</f>
        <v>2013</v>
      </c>
      <c r="N30" s="85"/>
      <c r="O30" s="85">
        <f>O24*(1+$E$27)^(2014-$M30)</f>
        <v>5546.666666666667</v>
      </c>
      <c r="P30" s="85"/>
      <c r="Q30" s="96"/>
      <c r="R30" s="5"/>
      <c r="S30" s="5"/>
    </row>
    <row r="31" spans="1:19" x14ac:dyDescent="0.2">
      <c r="A31" s="38" t="s">
        <v>36</v>
      </c>
      <c r="B31" s="37" t="s">
        <v>35</v>
      </c>
      <c r="C31" s="91" t="s">
        <v>329</v>
      </c>
      <c r="D31" s="37"/>
      <c r="E31" s="37"/>
      <c r="F31" s="37"/>
      <c r="G31" s="37"/>
      <c r="H31" s="37"/>
      <c r="I31" s="37"/>
      <c r="J31" s="37"/>
      <c r="K31" s="36"/>
      <c r="M31" s="76">
        <f>M9</f>
        <v>2014</v>
      </c>
      <c r="N31" s="85">
        <f>N25*(1+$E$27)^(2014-$M31)</f>
        <v>2580.6451612903224</v>
      </c>
      <c r="O31" s="85"/>
      <c r="P31" s="85"/>
      <c r="Q31" s="85"/>
      <c r="R31" s="5"/>
      <c r="S31" s="5"/>
    </row>
    <row r="32" spans="1:19" x14ac:dyDescent="0.2">
      <c r="A32" s="38"/>
      <c r="B32" s="37"/>
      <c r="C32" s="91" t="s">
        <v>328</v>
      </c>
      <c r="D32" s="37"/>
      <c r="E32" s="37"/>
      <c r="F32" s="37"/>
      <c r="G32" s="37"/>
      <c r="H32" s="37"/>
      <c r="I32" s="37"/>
      <c r="J32" s="37"/>
      <c r="K32" s="36"/>
      <c r="M32" s="5"/>
      <c r="N32" s="5"/>
      <c r="O32" s="5"/>
      <c r="P32" s="5"/>
      <c r="Q32" s="5"/>
      <c r="R32" s="5"/>
      <c r="S32" s="5"/>
    </row>
    <row r="33" spans="1:18" x14ac:dyDescent="0.2">
      <c r="A33" s="38"/>
      <c r="B33" s="37"/>
      <c r="C33" s="37" t="s">
        <v>327</v>
      </c>
      <c r="D33" s="37"/>
      <c r="E33" s="37"/>
      <c r="F33" s="37"/>
      <c r="G33" s="37"/>
      <c r="H33" s="37"/>
      <c r="I33" s="37"/>
      <c r="J33" s="37"/>
      <c r="K33" s="36"/>
      <c r="M33" s="80"/>
      <c r="N33" s="78">
        <v>12</v>
      </c>
      <c r="O33" s="78">
        <v>24</v>
      </c>
      <c r="P33" s="78">
        <v>36</v>
      </c>
      <c r="Q33" s="5"/>
      <c r="R33" s="5"/>
    </row>
    <row r="34" spans="1:18" ht="18" thickBot="1" x14ac:dyDescent="0.25">
      <c r="A34" s="119"/>
      <c r="B34" s="88"/>
      <c r="C34" s="89"/>
      <c r="D34" s="88"/>
      <c r="E34" s="88"/>
      <c r="F34" s="88"/>
      <c r="G34" s="88"/>
      <c r="H34" s="88"/>
      <c r="I34" s="88"/>
      <c r="J34" s="88"/>
      <c r="K34" s="87"/>
      <c r="M34" s="82" t="s">
        <v>77</v>
      </c>
      <c r="N34" s="84">
        <f>N31</f>
        <v>2580.6451612903224</v>
      </c>
      <c r="O34" s="84">
        <f>O30</f>
        <v>5546.666666666667</v>
      </c>
      <c r="P34" s="84">
        <f>P29</f>
        <v>5408.0000000000009</v>
      </c>
      <c r="Q34" s="5"/>
      <c r="R34" s="5"/>
    </row>
    <row r="35" spans="1:18" ht="17" thickBot="1" x14ac:dyDescent="0.25">
      <c r="A35" s="35" t="s">
        <v>32</v>
      </c>
      <c r="B35" s="33"/>
      <c r="C35" s="34"/>
      <c r="D35" s="33"/>
      <c r="E35" s="33"/>
      <c r="F35" s="33"/>
      <c r="G35" s="33"/>
      <c r="H35" s="33"/>
      <c r="I35" s="33"/>
      <c r="J35" s="33"/>
      <c r="K35" s="32"/>
      <c r="M35" s="5"/>
      <c r="N35" s="5"/>
      <c r="O35" s="5"/>
      <c r="P35" s="5"/>
      <c r="Q35" s="5"/>
      <c r="R35" s="5"/>
    </row>
    <row r="36" spans="1:18" ht="17" customHeight="1" x14ac:dyDescent="0.2">
      <c r="M36" s="7" t="s">
        <v>326</v>
      </c>
      <c r="N36" s="5"/>
      <c r="O36" s="5"/>
      <c r="P36" s="5"/>
      <c r="Q36" s="5"/>
      <c r="R36" s="5"/>
    </row>
    <row r="37" spans="1:18" x14ac:dyDescent="0.2">
      <c r="M37" s="5"/>
      <c r="N37" s="5"/>
      <c r="O37" s="5"/>
      <c r="P37" s="5"/>
      <c r="Q37" s="5"/>
      <c r="R37" s="5"/>
    </row>
    <row r="38" spans="1:18" x14ac:dyDescent="0.2">
      <c r="M38" s="5"/>
      <c r="N38" s="5"/>
      <c r="O38" s="5"/>
      <c r="P38" s="5"/>
      <c r="Q38" s="5"/>
      <c r="R38" s="5"/>
    </row>
    <row r="39" spans="1:18" ht="17" x14ac:dyDescent="0.2">
      <c r="M39" s="82" t="s">
        <v>21</v>
      </c>
      <c r="N39" s="269" t="s">
        <v>75</v>
      </c>
      <c r="O39" s="270"/>
      <c r="P39" s="270"/>
      <c r="Q39" s="5"/>
      <c r="R39" s="5"/>
    </row>
    <row r="40" spans="1:18" ht="17" x14ac:dyDescent="0.2">
      <c r="M40" s="80" t="s">
        <v>17</v>
      </c>
      <c r="N40" s="78">
        <v>12</v>
      </c>
      <c r="O40" s="78">
        <v>24</v>
      </c>
      <c r="P40" s="78">
        <v>36</v>
      </c>
      <c r="Q40" s="5"/>
      <c r="R40" s="5"/>
    </row>
    <row r="41" spans="1:18" x14ac:dyDescent="0.2">
      <c r="M41" s="76">
        <f>M7</f>
        <v>2012</v>
      </c>
      <c r="N41" s="84">
        <f>N23</f>
        <v>3082.1917808219177</v>
      </c>
      <c r="O41" s="84">
        <f>O23</f>
        <v>5000</v>
      </c>
      <c r="P41" s="84">
        <f>P23</f>
        <v>5000</v>
      </c>
      <c r="Q41" s="5"/>
      <c r="R41" s="5"/>
    </row>
    <row r="42" spans="1:18" x14ac:dyDescent="0.2">
      <c r="M42" s="76">
        <f>M8</f>
        <v>2013</v>
      </c>
      <c r="N42" s="84">
        <f>N24</f>
        <v>3466.6666666666665</v>
      </c>
      <c r="O42" s="84">
        <f>O24</f>
        <v>5333.333333333333</v>
      </c>
      <c r="P42" s="175">
        <f>P43/(1+E27)</f>
        <v>5200.0000000000009</v>
      </c>
      <c r="Q42" s="5"/>
      <c r="R42" s="5"/>
    </row>
    <row r="43" spans="1:18" ht="17" customHeight="1" x14ac:dyDescent="0.2">
      <c r="M43" s="76">
        <f>M9</f>
        <v>2014</v>
      </c>
      <c r="N43" s="84">
        <f>N25</f>
        <v>2580.6451612903224</v>
      </c>
      <c r="O43" s="83">
        <f>O34</f>
        <v>5546.666666666667</v>
      </c>
      <c r="P43" s="83">
        <f>P34</f>
        <v>5408.0000000000009</v>
      </c>
      <c r="Q43" s="5"/>
      <c r="R43" s="5"/>
    </row>
    <row r="44" spans="1:18" x14ac:dyDescent="0.2">
      <c r="M44" s="5"/>
      <c r="N44" s="5"/>
      <c r="O44" s="5"/>
      <c r="P44" s="5"/>
      <c r="Q44" s="5"/>
      <c r="R44" s="5"/>
    </row>
    <row r="45" spans="1:18" ht="17" thickBot="1" x14ac:dyDescent="0.25">
      <c r="M45" s="5"/>
      <c r="N45" s="5"/>
      <c r="O45" s="5"/>
      <c r="P45" s="5"/>
      <c r="Q45" s="5"/>
      <c r="R45" s="5"/>
    </row>
    <row r="46" spans="1:18" ht="17" x14ac:dyDescent="0.2">
      <c r="M46" s="82" t="s">
        <v>21</v>
      </c>
      <c r="N46" s="269" t="s">
        <v>74</v>
      </c>
      <c r="O46" s="270"/>
      <c r="P46" s="271"/>
      <c r="Q46" s="174" t="s">
        <v>18</v>
      </c>
      <c r="R46" s="5"/>
    </row>
    <row r="47" spans="1:18" ht="17" x14ac:dyDescent="0.2">
      <c r="M47" s="80" t="s">
        <v>17</v>
      </c>
      <c r="N47" s="79">
        <v>12</v>
      </c>
      <c r="O47" s="78">
        <v>24</v>
      </c>
      <c r="P47" s="78">
        <v>36</v>
      </c>
      <c r="Q47" s="77" t="s">
        <v>72</v>
      </c>
      <c r="R47" s="5"/>
    </row>
    <row r="48" spans="1:18" x14ac:dyDescent="0.2">
      <c r="M48" s="76">
        <f>M7</f>
        <v>2012</v>
      </c>
      <c r="N48" s="75">
        <f t="shared" ref="N48:P50" si="0">N17*N41</f>
        <v>2250000</v>
      </c>
      <c r="O48" s="84">
        <f t="shared" si="0"/>
        <v>350000</v>
      </c>
      <c r="P48" s="84">
        <f t="shared" si="0"/>
        <v>100000</v>
      </c>
      <c r="Q48" s="173">
        <f>SUM(N48:P48)</f>
        <v>2700000</v>
      </c>
      <c r="R48" s="5"/>
    </row>
    <row r="49" spans="13:19" x14ac:dyDescent="0.2">
      <c r="M49" s="76">
        <f>M8</f>
        <v>2013</v>
      </c>
      <c r="N49" s="75">
        <f t="shared" si="0"/>
        <v>2600000</v>
      </c>
      <c r="O49" s="84">
        <f t="shared" si="0"/>
        <v>400000</v>
      </c>
      <c r="P49" s="74">
        <f t="shared" si="0"/>
        <v>109200.00000000001</v>
      </c>
      <c r="Q49" s="173">
        <f>SUM(N49:P49)</f>
        <v>3109200</v>
      </c>
      <c r="R49" s="5"/>
    </row>
    <row r="50" spans="13:19" ht="17" thickBot="1" x14ac:dyDescent="0.25">
      <c r="M50" s="76">
        <f>M9</f>
        <v>2014</v>
      </c>
      <c r="N50" s="75">
        <f t="shared" si="0"/>
        <v>2000000</v>
      </c>
      <c r="O50" s="74">
        <f t="shared" si="0"/>
        <v>428658.53919737233</v>
      </c>
      <c r="P50" s="74">
        <f t="shared" si="0"/>
        <v>117449.924282562</v>
      </c>
      <c r="Q50" s="172">
        <f>SUM(N50:P50)</f>
        <v>2546108.4634799343</v>
      </c>
      <c r="R50" s="5"/>
    </row>
    <row r="53" spans="13:19" x14ac:dyDescent="0.2">
      <c r="M53" s="64" t="s">
        <v>11</v>
      </c>
    </row>
    <row r="54" spans="13:19" x14ac:dyDescent="0.2">
      <c r="M54" s="159" t="s">
        <v>325</v>
      </c>
    </row>
    <row r="55" spans="13:19" x14ac:dyDescent="0.2">
      <c r="M55" s="2" t="s">
        <v>324</v>
      </c>
    </row>
    <row r="56" spans="13:19" x14ac:dyDescent="0.2">
      <c r="M56" s="2" t="s">
        <v>323</v>
      </c>
    </row>
    <row r="59" spans="13:19" ht="19" x14ac:dyDescent="0.25">
      <c r="M59" s="72" t="s">
        <v>3</v>
      </c>
    </row>
    <row r="60" spans="13:19" x14ac:dyDescent="0.2">
      <c r="M60" s="255" t="s">
        <v>322</v>
      </c>
      <c r="N60" s="255"/>
      <c r="O60" s="255"/>
      <c r="P60" s="255"/>
      <c r="Q60" s="255"/>
      <c r="R60" s="255"/>
      <c r="S60" s="255"/>
    </row>
    <row r="61" spans="13:19" x14ac:dyDescent="0.2">
      <c r="M61" s="255"/>
      <c r="N61" s="255"/>
      <c r="O61" s="255"/>
      <c r="P61" s="255"/>
      <c r="Q61" s="255"/>
      <c r="R61" s="255"/>
      <c r="S61" s="255"/>
    </row>
    <row r="62" spans="13:19" x14ac:dyDescent="0.2">
      <c r="M62" s="255"/>
      <c r="N62" s="255"/>
      <c r="O62" s="255"/>
      <c r="P62" s="255"/>
      <c r="Q62" s="255"/>
      <c r="R62" s="255"/>
      <c r="S62" s="255"/>
    </row>
    <row r="64" spans="13:19" ht="19" x14ac:dyDescent="0.25">
      <c r="M64" s="72" t="s">
        <v>1</v>
      </c>
    </row>
    <row r="65" spans="13:13" x14ac:dyDescent="0.2">
      <c r="M65" s="1" t="s">
        <v>0</v>
      </c>
    </row>
  </sheetData>
  <mergeCells count="8">
    <mergeCell ref="D6:F6"/>
    <mergeCell ref="D12:F12"/>
    <mergeCell ref="N5:P5"/>
    <mergeCell ref="M60:S62"/>
    <mergeCell ref="N21:P21"/>
    <mergeCell ref="N27:P27"/>
    <mergeCell ref="N46:P46"/>
    <mergeCell ref="N39:P3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E7DC-5352-4144-9B46-6B2C15F0C2E3}">
  <dimension ref="A1:T23"/>
  <sheetViews>
    <sheetView workbookViewId="0">
      <selection activeCell="B1" sqref="B1"/>
    </sheetView>
  </sheetViews>
  <sheetFormatPr baseColWidth="10" defaultColWidth="11" defaultRowHeight="16" outlineLevelCol="1" x14ac:dyDescent="0.2"/>
  <cols>
    <col min="1" max="1" width="4" style="2" customWidth="1"/>
    <col min="2" max="2" width="10.83203125" style="1" customWidth="1"/>
    <col min="3" max="12" width="11" style="1"/>
    <col min="13" max="19" width="10.83203125" style="1" hidden="1" customWidth="1" outlineLevel="1"/>
    <col min="20" max="20" width="11" style="1" collapsed="1"/>
    <col min="21" max="16384" width="11" style="1"/>
  </cols>
  <sheetData>
    <row r="1" spans="1:19" x14ac:dyDescent="0.2">
      <c r="A1" s="71"/>
      <c r="B1" s="70" t="s">
        <v>70</v>
      </c>
      <c r="C1" s="69" t="s">
        <v>157</v>
      </c>
      <c r="D1" s="69" t="s">
        <v>68</v>
      </c>
      <c r="E1" s="69" t="s">
        <v>194</v>
      </c>
      <c r="F1" s="68"/>
      <c r="G1" s="68"/>
      <c r="H1" s="68"/>
      <c r="I1" s="68"/>
      <c r="J1" s="68"/>
      <c r="K1" s="67"/>
      <c r="L1" s="64" t="s">
        <v>66</v>
      </c>
      <c r="M1" s="64"/>
    </row>
    <row r="2" spans="1:19" x14ac:dyDescent="0.2">
      <c r="A2" s="38"/>
      <c r="B2" s="66" t="s">
        <v>65</v>
      </c>
      <c r="C2" s="65">
        <v>2.25</v>
      </c>
      <c r="D2" s="37"/>
      <c r="E2" s="37"/>
      <c r="F2" s="37"/>
      <c r="G2" s="37"/>
      <c r="H2" s="37"/>
      <c r="I2" s="37"/>
      <c r="J2" s="37"/>
      <c r="K2" s="36"/>
    </row>
    <row r="3" spans="1:19" x14ac:dyDescent="0.2">
      <c r="A3" s="38"/>
      <c r="B3" s="37"/>
      <c r="C3" s="37"/>
      <c r="D3" s="37"/>
      <c r="E3" s="37"/>
      <c r="F3" s="37"/>
      <c r="G3" s="37"/>
      <c r="H3" s="37"/>
      <c r="I3" s="37"/>
      <c r="J3" s="37"/>
      <c r="K3" s="36"/>
      <c r="M3" s="64" t="s">
        <v>64</v>
      </c>
    </row>
    <row r="4" spans="1:19" ht="16" customHeight="1" x14ac:dyDescent="0.2">
      <c r="A4" s="38"/>
      <c r="B4" s="37"/>
      <c r="C4" s="37" t="s">
        <v>321</v>
      </c>
      <c r="D4" s="37"/>
      <c r="E4" s="37"/>
      <c r="F4" s="37"/>
      <c r="G4" s="37"/>
      <c r="H4" s="37"/>
      <c r="I4" s="37"/>
      <c r="J4" s="37"/>
      <c r="K4" s="36"/>
      <c r="M4" s="255" t="s">
        <v>320</v>
      </c>
      <c r="N4" s="255"/>
      <c r="O4" s="255"/>
      <c r="P4" s="255"/>
      <c r="Q4" s="255"/>
      <c r="R4" s="255"/>
      <c r="S4" s="255"/>
    </row>
    <row r="5" spans="1:19" x14ac:dyDescent="0.2">
      <c r="A5" s="38"/>
      <c r="B5" s="37"/>
      <c r="C5" s="37" t="s">
        <v>319</v>
      </c>
      <c r="D5" s="37"/>
      <c r="E5" s="37"/>
      <c r="F5" s="37"/>
      <c r="G5" s="37"/>
      <c r="H5" s="37"/>
      <c r="I5" s="37"/>
      <c r="J5" s="37"/>
      <c r="K5" s="36"/>
      <c r="M5" s="255"/>
      <c r="N5" s="255"/>
      <c r="O5" s="255"/>
      <c r="P5" s="255"/>
      <c r="Q5" s="255"/>
      <c r="R5" s="255"/>
      <c r="S5" s="255"/>
    </row>
    <row r="6" spans="1:19" x14ac:dyDescent="0.2">
      <c r="A6" s="38"/>
      <c r="B6" s="37"/>
      <c r="C6" s="37"/>
      <c r="D6" s="37"/>
      <c r="E6" s="37"/>
      <c r="F6" s="37"/>
      <c r="G6" s="37"/>
      <c r="H6" s="37"/>
      <c r="I6" s="37"/>
      <c r="J6" s="37"/>
      <c r="K6" s="36"/>
      <c r="M6" s="255"/>
      <c r="N6" s="255"/>
      <c r="O6" s="255"/>
      <c r="P6" s="255"/>
      <c r="Q6" s="255"/>
      <c r="R6" s="255"/>
      <c r="S6" s="255"/>
    </row>
    <row r="7" spans="1:19" x14ac:dyDescent="0.2">
      <c r="A7" s="38" t="s">
        <v>40</v>
      </c>
      <c r="B7" s="37" t="s">
        <v>35</v>
      </c>
      <c r="C7" s="37" t="s">
        <v>318</v>
      </c>
      <c r="D7" s="37"/>
      <c r="E7" s="37"/>
      <c r="F7" s="37"/>
      <c r="G7" s="37"/>
      <c r="H7" s="37"/>
      <c r="I7" s="37"/>
      <c r="J7" s="37"/>
      <c r="K7" s="36"/>
      <c r="N7" s="171"/>
    </row>
    <row r="8" spans="1:19" x14ac:dyDescent="0.2">
      <c r="A8" s="38"/>
      <c r="B8" s="37"/>
      <c r="C8" s="37" t="s">
        <v>317</v>
      </c>
      <c r="D8" s="37"/>
      <c r="E8" s="37"/>
      <c r="F8" s="37"/>
      <c r="G8" s="37"/>
      <c r="H8" s="37"/>
      <c r="I8" s="37"/>
      <c r="J8" s="37"/>
      <c r="K8" s="36"/>
      <c r="M8" s="64" t="s">
        <v>11</v>
      </c>
      <c r="N8" s="170"/>
    </row>
    <row r="9" spans="1:19" ht="16" customHeight="1" x14ac:dyDescent="0.2">
      <c r="A9" s="38"/>
      <c r="B9" s="37"/>
      <c r="C9" s="37"/>
      <c r="D9" s="37"/>
      <c r="E9" s="37"/>
      <c r="F9" s="37"/>
      <c r="G9" s="37"/>
      <c r="H9" s="37"/>
      <c r="I9" s="37"/>
      <c r="J9" s="37"/>
      <c r="K9" s="36"/>
      <c r="M9" s="255" t="s">
        <v>316</v>
      </c>
      <c r="N9" s="255"/>
      <c r="O9" s="255"/>
      <c r="P9" s="255"/>
      <c r="Q9" s="255"/>
      <c r="R9" s="255"/>
      <c r="S9" s="255"/>
    </row>
    <row r="10" spans="1:19" x14ac:dyDescent="0.2">
      <c r="A10" s="38" t="s">
        <v>36</v>
      </c>
      <c r="B10" s="37" t="s">
        <v>315</v>
      </c>
      <c r="C10" s="37" t="s">
        <v>314</v>
      </c>
      <c r="D10" s="37"/>
      <c r="E10" s="37"/>
      <c r="F10" s="37"/>
      <c r="G10" s="37"/>
      <c r="H10" s="37"/>
      <c r="I10" s="37"/>
      <c r="J10" s="37"/>
      <c r="K10" s="36"/>
      <c r="M10" s="255"/>
      <c r="N10" s="255"/>
      <c r="O10" s="255"/>
      <c r="P10" s="255"/>
      <c r="Q10" s="255"/>
      <c r="R10" s="255"/>
      <c r="S10" s="255"/>
    </row>
    <row r="11" spans="1:19" x14ac:dyDescent="0.2">
      <c r="A11" s="38"/>
      <c r="B11" s="37"/>
      <c r="C11" s="37" t="s">
        <v>313</v>
      </c>
      <c r="D11" s="37"/>
      <c r="E11" s="37"/>
      <c r="F11" s="37"/>
      <c r="G11" s="37"/>
      <c r="H11" s="37"/>
      <c r="I11" s="37"/>
      <c r="J11" s="37"/>
      <c r="K11" s="36"/>
      <c r="M11" s="255"/>
      <c r="N11" s="255"/>
      <c r="O11" s="255"/>
      <c r="P11" s="255"/>
      <c r="Q11" s="255"/>
      <c r="R11" s="255"/>
      <c r="S11" s="255"/>
    </row>
    <row r="12" spans="1:19" x14ac:dyDescent="0.2">
      <c r="A12" s="38"/>
      <c r="B12" s="37"/>
      <c r="C12" s="37" t="s">
        <v>37</v>
      </c>
      <c r="D12" s="37"/>
      <c r="E12" s="37"/>
      <c r="F12" s="37"/>
      <c r="G12" s="37"/>
      <c r="H12" s="37"/>
      <c r="I12" s="37"/>
      <c r="J12" s="37"/>
      <c r="K12" s="36"/>
      <c r="M12" s="255"/>
      <c r="N12" s="255"/>
      <c r="O12" s="255"/>
      <c r="P12" s="255"/>
      <c r="Q12" s="255"/>
      <c r="R12" s="255"/>
      <c r="S12" s="255"/>
    </row>
    <row r="13" spans="1:19" x14ac:dyDescent="0.2">
      <c r="A13" s="38"/>
      <c r="B13" s="40"/>
      <c r="C13" s="37"/>
      <c r="D13" s="37"/>
      <c r="E13" s="37"/>
      <c r="F13" s="37"/>
      <c r="G13" s="37"/>
      <c r="H13" s="37"/>
      <c r="I13" s="37"/>
      <c r="J13" s="37"/>
      <c r="K13" s="36"/>
      <c r="M13" s="255"/>
      <c r="N13" s="255"/>
      <c r="O13" s="255"/>
      <c r="P13" s="255"/>
      <c r="Q13" s="255"/>
      <c r="R13" s="255"/>
      <c r="S13" s="255"/>
    </row>
    <row r="14" spans="1:19" x14ac:dyDescent="0.2">
      <c r="A14" s="38" t="s">
        <v>173</v>
      </c>
      <c r="B14" s="39" t="s">
        <v>35</v>
      </c>
      <c r="C14" s="37" t="s">
        <v>312</v>
      </c>
      <c r="D14" s="37"/>
      <c r="E14" s="37"/>
      <c r="F14" s="37"/>
      <c r="G14" s="37"/>
      <c r="H14" s="37"/>
      <c r="I14" s="37"/>
      <c r="J14" s="37"/>
      <c r="K14" s="36"/>
      <c r="M14" s="255"/>
      <c r="N14" s="255"/>
      <c r="O14" s="255"/>
      <c r="P14" s="255"/>
      <c r="Q14" s="255"/>
      <c r="R14" s="255"/>
      <c r="S14" s="255"/>
    </row>
    <row r="15" spans="1:19" x14ac:dyDescent="0.2">
      <c r="A15" s="38"/>
      <c r="B15" s="40"/>
      <c r="C15" s="37" t="s">
        <v>311</v>
      </c>
      <c r="D15" s="37"/>
      <c r="E15" s="37"/>
      <c r="F15" s="37"/>
      <c r="G15" s="37"/>
      <c r="H15" s="37"/>
      <c r="I15" s="37"/>
      <c r="J15" s="37"/>
      <c r="K15" s="36"/>
    </row>
    <row r="16" spans="1:19" ht="17" thickBot="1" x14ac:dyDescent="0.25">
      <c r="A16" s="38"/>
      <c r="B16" s="40"/>
      <c r="C16" s="37"/>
      <c r="D16" s="37"/>
      <c r="E16" s="37"/>
      <c r="F16" s="37"/>
      <c r="G16" s="37"/>
      <c r="H16" s="37"/>
      <c r="I16" s="37"/>
      <c r="J16" s="37"/>
      <c r="K16" s="36"/>
      <c r="M16" s="64" t="s">
        <v>166</v>
      </c>
    </row>
    <row r="17" spans="1:19" ht="17" thickBot="1" x14ac:dyDescent="0.25">
      <c r="A17" s="35" t="s">
        <v>32</v>
      </c>
      <c r="B17" s="33"/>
      <c r="C17" s="34"/>
      <c r="D17" s="33"/>
      <c r="E17" s="33"/>
      <c r="F17" s="33"/>
      <c r="G17" s="33"/>
      <c r="H17" s="33"/>
      <c r="I17" s="33"/>
      <c r="J17" s="33"/>
      <c r="K17" s="32"/>
      <c r="M17" s="255" t="s">
        <v>310</v>
      </c>
      <c r="N17" s="255"/>
      <c r="O17" s="255"/>
      <c r="P17" s="255"/>
      <c r="Q17" s="255"/>
      <c r="R17" s="255"/>
      <c r="S17" s="255"/>
    </row>
    <row r="18" spans="1:19" x14ac:dyDescent="0.2">
      <c r="M18" s="255"/>
      <c r="N18" s="255"/>
      <c r="O18" s="255"/>
      <c r="P18" s="255"/>
      <c r="Q18" s="255"/>
      <c r="R18" s="255"/>
      <c r="S18" s="255"/>
    </row>
    <row r="21" spans="1:19" ht="19" x14ac:dyDescent="0.25">
      <c r="M21" s="72" t="s">
        <v>3</v>
      </c>
    </row>
    <row r="22" spans="1:19" x14ac:dyDescent="0.2">
      <c r="M22" s="255" t="s">
        <v>309</v>
      </c>
      <c r="N22" s="255"/>
      <c r="O22" s="255"/>
      <c r="P22" s="255"/>
      <c r="Q22" s="255"/>
      <c r="R22" s="255"/>
      <c r="S22" s="255"/>
    </row>
    <row r="23" spans="1:19" x14ac:dyDescent="0.2">
      <c r="M23" s="255"/>
      <c r="N23" s="255"/>
      <c r="O23" s="255"/>
      <c r="P23" s="255"/>
      <c r="Q23" s="255"/>
      <c r="R23" s="255"/>
      <c r="S23" s="255"/>
    </row>
  </sheetData>
  <mergeCells count="4">
    <mergeCell ref="M22:S23"/>
    <mergeCell ref="M4:S6"/>
    <mergeCell ref="M9:S14"/>
    <mergeCell ref="M17:S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6823C-FBF9-0B43-9E86-528382229920}">
  <dimension ref="A1:T27"/>
  <sheetViews>
    <sheetView workbookViewId="0">
      <selection activeCell="B1" sqref="B1"/>
    </sheetView>
  </sheetViews>
  <sheetFormatPr baseColWidth="10" defaultColWidth="11" defaultRowHeight="16" outlineLevelCol="1" x14ac:dyDescent="0.2"/>
  <cols>
    <col min="1" max="1" width="4" style="2" customWidth="1"/>
    <col min="2" max="2" width="10.83203125" style="1" customWidth="1"/>
    <col min="3" max="12" width="11" style="1"/>
    <col min="13" max="19" width="10.83203125" style="1" hidden="1" customWidth="1" outlineLevel="1"/>
    <col min="20" max="20" width="10.83203125" style="1" customWidth="1" collapsed="1"/>
    <col min="21" max="16384" width="11" style="1"/>
  </cols>
  <sheetData>
    <row r="1" spans="1:19" x14ac:dyDescent="0.2">
      <c r="A1" s="71"/>
      <c r="B1" s="70" t="s">
        <v>70</v>
      </c>
      <c r="C1" s="69" t="s">
        <v>361</v>
      </c>
      <c r="D1" s="69" t="s">
        <v>68</v>
      </c>
      <c r="E1" s="69" t="s">
        <v>360</v>
      </c>
      <c r="F1" s="68"/>
      <c r="G1" s="68"/>
      <c r="H1" s="68"/>
      <c r="I1" s="68"/>
      <c r="J1" s="68"/>
      <c r="K1" s="67"/>
      <c r="L1" s="64" t="s">
        <v>66</v>
      </c>
    </row>
    <row r="2" spans="1:19" x14ac:dyDescent="0.2">
      <c r="A2" s="38"/>
      <c r="B2" s="66" t="s">
        <v>65</v>
      </c>
      <c r="C2" s="65">
        <v>2</v>
      </c>
      <c r="D2" s="37"/>
      <c r="E2" s="37"/>
      <c r="F2" s="37"/>
      <c r="G2" s="37"/>
      <c r="H2" s="37"/>
      <c r="I2" s="37"/>
      <c r="J2" s="37"/>
      <c r="K2" s="36"/>
    </row>
    <row r="3" spans="1:19" x14ac:dyDescent="0.2">
      <c r="A3" s="38"/>
      <c r="B3" s="37"/>
      <c r="C3" s="37"/>
      <c r="D3" s="37"/>
      <c r="E3" s="37"/>
      <c r="F3" s="37"/>
      <c r="G3" s="37"/>
      <c r="H3" s="37"/>
      <c r="I3" s="37"/>
      <c r="J3" s="37"/>
      <c r="K3" s="36"/>
      <c r="M3" s="64" t="s">
        <v>64</v>
      </c>
    </row>
    <row r="4" spans="1:19" ht="16" customHeight="1" x14ac:dyDescent="0.2">
      <c r="A4" s="38"/>
      <c r="B4" s="37"/>
      <c r="C4" s="37" t="s">
        <v>359</v>
      </c>
      <c r="D4" s="37"/>
      <c r="E4" s="37"/>
      <c r="F4" s="37"/>
      <c r="G4" s="37"/>
      <c r="H4" s="37"/>
      <c r="I4" s="37"/>
      <c r="J4" s="37"/>
      <c r="K4" s="36"/>
      <c r="M4" s="255" t="s">
        <v>358</v>
      </c>
      <c r="N4" s="255"/>
      <c r="O4" s="255"/>
      <c r="P4" s="255"/>
      <c r="Q4" s="255"/>
      <c r="R4" s="255"/>
      <c r="S4" s="255"/>
    </row>
    <row r="5" spans="1:19" x14ac:dyDescent="0.2">
      <c r="A5" s="38"/>
      <c r="B5" s="37"/>
      <c r="C5" s="37"/>
      <c r="D5" s="37"/>
      <c r="E5" s="37"/>
      <c r="F5" s="37"/>
      <c r="G5" s="37"/>
      <c r="H5" s="37"/>
      <c r="I5" s="37"/>
      <c r="J5" s="37"/>
      <c r="K5" s="36"/>
      <c r="M5" s="255"/>
      <c r="N5" s="255"/>
      <c r="O5" s="255"/>
      <c r="P5" s="255"/>
      <c r="Q5" s="255"/>
      <c r="R5" s="255"/>
      <c r="S5" s="255"/>
    </row>
    <row r="6" spans="1:19" x14ac:dyDescent="0.2">
      <c r="A6" s="38" t="s">
        <v>40</v>
      </c>
      <c r="B6" s="37" t="s">
        <v>35</v>
      </c>
      <c r="C6" s="37" t="s">
        <v>357</v>
      </c>
      <c r="D6" s="37"/>
      <c r="E6" s="37"/>
      <c r="F6" s="37"/>
      <c r="G6" s="37"/>
      <c r="H6" s="37"/>
      <c r="I6" s="37"/>
      <c r="J6" s="37"/>
      <c r="K6" s="36"/>
      <c r="M6" s="255"/>
      <c r="N6" s="255"/>
      <c r="O6" s="255"/>
      <c r="P6" s="255"/>
      <c r="Q6" s="255"/>
      <c r="R6" s="255"/>
      <c r="S6" s="255"/>
    </row>
    <row r="7" spans="1:19" x14ac:dyDescent="0.2">
      <c r="A7" s="38"/>
      <c r="B7" s="37"/>
      <c r="C7" s="37"/>
      <c r="D7" s="37"/>
      <c r="E7" s="37"/>
      <c r="F7" s="37"/>
      <c r="G7" s="37"/>
      <c r="H7" s="37"/>
      <c r="I7" s="37"/>
      <c r="J7" s="37"/>
      <c r="K7" s="36"/>
    </row>
    <row r="8" spans="1:19" x14ac:dyDescent="0.2">
      <c r="A8" s="38" t="s">
        <v>36</v>
      </c>
      <c r="B8" s="37" t="s">
        <v>35</v>
      </c>
      <c r="C8" s="37" t="s">
        <v>356</v>
      </c>
      <c r="D8" s="37"/>
      <c r="E8" s="37"/>
      <c r="F8" s="37"/>
      <c r="G8" s="37"/>
      <c r="H8" s="37"/>
      <c r="I8" s="37"/>
      <c r="J8" s="37"/>
      <c r="K8" s="36"/>
      <c r="M8" s="64" t="s">
        <v>11</v>
      </c>
    </row>
    <row r="9" spans="1:19" x14ac:dyDescent="0.2">
      <c r="A9" s="38"/>
      <c r="B9" s="37"/>
      <c r="C9" s="37"/>
      <c r="D9" s="37"/>
      <c r="E9" s="37"/>
      <c r="F9" s="37"/>
      <c r="G9" s="37"/>
      <c r="H9" s="37"/>
      <c r="I9" s="37"/>
      <c r="J9" s="37"/>
      <c r="K9" s="36"/>
      <c r="M9" s="268" t="s">
        <v>355</v>
      </c>
      <c r="N9" s="268"/>
      <c r="O9" s="268"/>
      <c r="P9" s="268"/>
      <c r="Q9" s="268"/>
      <c r="R9" s="268"/>
      <c r="S9" s="268"/>
    </row>
    <row r="10" spans="1:19" x14ac:dyDescent="0.2">
      <c r="A10" s="38" t="s">
        <v>173</v>
      </c>
      <c r="B10" s="37" t="s">
        <v>35</v>
      </c>
      <c r="C10" s="37" t="s">
        <v>354</v>
      </c>
      <c r="D10" s="37"/>
      <c r="E10" s="37"/>
      <c r="F10" s="37"/>
      <c r="G10" s="37"/>
      <c r="H10" s="37"/>
      <c r="I10" s="37"/>
      <c r="J10" s="37"/>
      <c r="K10" s="36"/>
      <c r="M10" s="268"/>
      <c r="N10" s="268"/>
      <c r="O10" s="268"/>
      <c r="P10" s="268"/>
      <c r="Q10" s="268"/>
      <c r="R10" s="268"/>
      <c r="S10" s="268"/>
    </row>
    <row r="11" spans="1:19" x14ac:dyDescent="0.2">
      <c r="A11" s="38"/>
      <c r="B11" s="37"/>
      <c r="C11" s="37"/>
      <c r="D11" s="37"/>
      <c r="E11" s="37"/>
      <c r="F11" s="37"/>
      <c r="G11" s="37"/>
      <c r="H11" s="37"/>
      <c r="I11" s="37"/>
      <c r="J11" s="37"/>
      <c r="K11" s="36"/>
      <c r="M11" s="268"/>
      <c r="N11" s="268"/>
      <c r="O11" s="268"/>
      <c r="P11" s="268"/>
      <c r="Q11" s="268"/>
      <c r="R11" s="268"/>
      <c r="S11" s="268"/>
    </row>
    <row r="12" spans="1:19" x14ac:dyDescent="0.2">
      <c r="A12" s="38" t="s">
        <v>353</v>
      </c>
      <c r="B12" s="37" t="s">
        <v>35</v>
      </c>
      <c r="C12" s="37" t="s">
        <v>352</v>
      </c>
      <c r="D12" s="37"/>
      <c r="E12" s="37"/>
      <c r="F12" s="37"/>
      <c r="G12" s="37"/>
      <c r="H12" s="37"/>
      <c r="I12" s="37"/>
      <c r="J12" s="37"/>
      <c r="K12" s="36"/>
    </row>
    <row r="13" spans="1:19" ht="17" thickBot="1" x14ac:dyDescent="0.25">
      <c r="A13" s="38"/>
      <c r="B13" s="40"/>
      <c r="C13" s="37"/>
      <c r="D13" s="37"/>
      <c r="E13" s="37"/>
      <c r="F13" s="37"/>
      <c r="G13" s="37"/>
      <c r="H13" s="37"/>
      <c r="I13" s="37"/>
      <c r="J13" s="37"/>
      <c r="K13" s="36"/>
      <c r="M13" s="64" t="s">
        <v>166</v>
      </c>
    </row>
    <row r="14" spans="1:19" ht="17" thickBot="1" x14ac:dyDescent="0.25">
      <c r="A14" s="35" t="s">
        <v>32</v>
      </c>
      <c r="B14" s="33"/>
      <c r="C14" s="34"/>
      <c r="D14" s="33"/>
      <c r="E14" s="33"/>
      <c r="F14" s="33"/>
      <c r="G14" s="33"/>
      <c r="H14" s="33"/>
      <c r="I14" s="33"/>
      <c r="J14" s="33"/>
      <c r="K14" s="32"/>
      <c r="M14" s="255" t="s">
        <v>351</v>
      </c>
      <c r="N14" s="255"/>
      <c r="O14" s="255"/>
      <c r="P14" s="255"/>
      <c r="Q14" s="255"/>
      <c r="R14" s="255"/>
      <c r="S14" s="255"/>
    </row>
    <row r="15" spans="1:19" x14ac:dyDescent="0.2">
      <c r="M15" s="255"/>
      <c r="N15" s="255"/>
      <c r="O15" s="255"/>
      <c r="P15" s="255"/>
      <c r="Q15" s="255"/>
      <c r="R15" s="255"/>
      <c r="S15" s="255"/>
    </row>
    <row r="17" spans="13:19" x14ac:dyDescent="0.2">
      <c r="M17" s="6" t="s">
        <v>350</v>
      </c>
    </row>
    <row r="18" spans="13:19" x14ac:dyDescent="0.2">
      <c r="M18" s="255" t="s">
        <v>349</v>
      </c>
      <c r="N18" s="255"/>
      <c r="O18" s="255"/>
      <c r="P18" s="255"/>
      <c r="Q18" s="255"/>
      <c r="R18" s="255"/>
      <c r="S18" s="255"/>
    </row>
    <row r="19" spans="13:19" x14ac:dyDescent="0.2">
      <c r="M19" s="255"/>
      <c r="N19" s="255"/>
      <c r="O19" s="255"/>
      <c r="P19" s="255"/>
      <c r="Q19" s="255"/>
      <c r="R19" s="255"/>
      <c r="S19" s="255"/>
    </row>
    <row r="21" spans="13:19" x14ac:dyDescent="0.2">
      <c r="M21" s="64" t="s">
        <v>348</v>
      </c>
    </row>
    <row r="22" spans="13:19" x14ac:dyDescent="0.2">
      <c r="M22" s="255" t="s">
        <v>347</v>
      </c>
      <c r="N22" s="255"/>
      <c r="O22" s="255"/>
      <c r="P22" s="255"/>
      <c r="Q22" s="255"/>
      <c r="R22" s="255"/>
      <c r="S22" s="255"/>
    </row>
    <row r="23" spans="13:19" x14ac:dyDescent="0.2">
      <c r="M23" s="255"/>
      <c r="N23" s="255"/>
      <c r="O23" s="255"/>
      <c r="P23" s="255"/>
      <c r="Q23" s="255"/>
      <c r="R23" s="255"/>
      <c r="S23" s="255"/>
    </row>
    <row r="26" spans="13:19" ht="19" x14ac:dyDescent="0.25">
      <c r="M26" s="72" t="s">
        <v>346</v>
      </c>
    </row>
    <row r="27" spans="13:19" x14ac:dyDescent="0.2">
      <c r="M27" s="1" t="s">
        <v>345</v>
      </c>
    </row>
  </sheetData>
  <mergeCells count="5">
    <mergeCell ref="M4:S6"/>
    <mergeCell ref="M9:S11"/>
    <mergeCell ref="M14:S15"/>
    <mergeCell ref="M18:S19"/>
    <mergeCell ref="M22:S23"/>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C70A8-FD19-274D-AD31-03EA706E280C}">
  <dimension ref="A1:T23"/>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12" width="11" style="1"/>
    <col min="13" max="19" width="10.83203125" style="1" hidden="1" customWidth="1" outlineLevel="1"/>
    <col min="20" max="20" width="11" style="1" collapsed="1"/>
    <col min="21" max="16384" width="11" style="1"/>
  </cols>
  <sheetData>
    <row r="1" spans="1:19" x14ac:dyDescent="0.2">
      <c r="A1" s="71"/>
      <c r="B1" s="70" t="s">
        <v>70</v>
      </c>
      <c r="C1" s="69" t="s">
        <v>289</v>
      </c>
      <c r="D1" s="69" t="s">
        <v>68</v>
      </c>
      <c r="E1" s="69" t="s">
        <v>194</v>
      </c>
      <c r="F1" s="68"/>
      <c r="G1" s="68"/>
      <c r="H1" s="68"/>
      <c r="I1" s="68"/>
      <c r="J1" s="68"/>
      <c r="K1" s="67"/>
      <c r="L1" s="64" t="s">
        <v>66</v>
      </c>
    </row>
    <row r="2" spans="1:19" x14ac:dyDescent="0.2">
      <c r="A2" s="38"/>
      <c r="B2" s="66" t="s">
        <v>65</v>
      </c>
      <c r="C2" s="65">
        <v>1.5</v>
      </c>
      <c r="D2" s="37"/>
      <c r="E2" s="37"/>
      <c r="F2" s="37"/>
      <c r="G2" s="37"/>
      <c r="H2" s="37"/>
      <c r="I2" s="37"/>
      <c r="J2" s="37"/>
      <c r="K2" s="36"/>
    </row>
    <row r="3" spans="1:19" x14ac:dyDescent="0.2">
      <c r="A3" s="38"/>
      <c r="B3" s="37"/>
      <c r="C3" s="37"/>
      <c r="D3" s="37"/>
      <c r="E3" s="37"/>
      <c r="F3" s="37"/>
      <c r="G3" s="37"/>
      <c r="H3" s="37"/>
      <c r="I3" s="37"/>
      <c r="J3" s="37"/>
      <c r="K3" s="36"/>
      <c r="M3" s="64" t="s">
        <v>64</v>
      </c>
    </row>
    <row r="4" spans="1:19" x14ac:dyDescent="0.2">
      <c r="A4" s="38"/>
      <c r="B4" s="37"/>
      <c r="C4" s="37" t="s">
        <v>288</v>
      </c>
      <c r="D4" s="37"/>
      <c r="E4" s="37"/>
      <c r="F4" s="37"/>
      <c r="G4" s="37"/>
      <c r="H4" s="37"/>
      <c r="I4" s="37"/>
      <c r="J4" s="37"/>
      <c r="K4" s="36"/>
      <c r="M4" s="1" t="s">
        <v>287</v>
      </c>
    </row>
    <row r="5" spans="1:19" x14ac:dyDescent="0.2">
      <c r="A5" s="38"/>
      <c r="B5" s="37"/>
      <c r="C5" s="37" t="s">
        <v>286</v>
      </c>
      <c r="D5" s="37"/>
      <c r="E5" s="37"/>
      <c r="F5" s="37"/>
      <c r="G5" s="37"/>
      <c r="H5" s="37"/>
      <c r="I5" s="37"/>
      <c r="J5" s="37"/>
      <c r="K5" s="36"/>
      <c r="M5" s="1" t="s">
        <v>285</v>
      </c>
    </row>
    <row r="6" spans="1:19" x14ac:dyDescent="0.2">
      <c r="A6" s="38"/>
      <c r="B6" s="37"/>
      <c r="C6" s="37"/>
      <c r="D6" s="37"/>
      <c r="E6" s="37"/>
      <c r="F6" s="37"/>
      <c r="G6" s="37"/>
      <c r="H6" s="37"/>
      <c r="I6" s="37"/>
      <c r="J6" s="37"/>
      <c r="K6" s="36"/>
    </row>
    <row r="7" spans="1:19" x14ac:dyDescent="0.2">
      <c r="A7" s="38"/>
      <c r="B7" s="37"/>
      <c r="C7" s="37" t="s">
        <v>284</v>
      </c>
      <c r="D7" s="37"/>
      <c r="E7" s="37"/>
      <c r="F7" s="37"/>
      <c r="G7" s="37"/>
      <c r="H7" s="37"/>
      <c r="I7" s="37"/>
      <c r="J7" s="37"/>
      <c r="K7" s="36"/>
      <c r="M7" s="64" t="s">
        <v>11</v>
      </c>
    </row>
    <row r="8" spans="1:19" x14ac:dyDescent="0.2">
      <c r="A8" s="38"/>
      <c r="B8" s="37"/>
      <c r="C8" s="37" t="s">
        <v>283</v>
      </c>
      <c r="D8" s="37"/>
      <c r="E8" s="37"/>
      <c r="F8" s="37"/>
      <c r="G8" s="37"/>
      <c r="H8" s="37"/>
      <c r="I8" s="37"/>
      <c r="J8" s="37"/>
      <c r="K8" s="36"/>
      <c r="M8" s="1" t="s">
        <v>282</v>
      </c>
    </row>
    <row r="9" spans="1:19" x14ac:dyDescent="0.2">
      <c r="A9" s="38"/>
      <c r="B9" s="37"/>
      <c r="C9" s="37" t="s">
        <v>281</v>
      </c>
      <c r="D9" s="37"/>
      <c r="E9" s="37"/>
      <c r="F9" s="37"/>
      <c r="G9" s="37"/>
      <c r="H9" s="37"/>
      <c r="I9" s="37"/>
      <c r="J9" s="37"/>
      <c r="K9" s="36"/>
      <c r="M9" s="255" t="s">
        <v>280</v>
      </c>
      <c r="N9" s="255"/>
      <c r="O9" s="255"/>
      <c r="P9" s="255"/>
      <c r="Q9" s="255"/>
      <c r="R9" s="255"/>
      <c r="S9" s="255"/>
    </row>
    <row r="10" spans="1:19" x14ac:dyDescent="0.2">
      <c r="A10" s="38"/>
      <c r="B10" s="37"/>
      <c r="C10" s="37" t="s">
        <v>279</v>
      </c>
      <c r="D10" s="37"/>
      <c r="E10" s="37"/>
      <c r="F10" s="37"/>
      <c r="G10" s="37"/>
      <c r="H10" s="37"/>
      <c r="I10" s="37"/>
      <c r="J10" s="37"/>
      <c r="K10" s="36"/>
      <c r="M10" s="255"/>
      <c r="N10" s="255"/>
      <c r="O10" s="255"/>
      <c r="P10" s="255"/>
      <c r="Q10" s="255"/>
      <c r="R10" s="255"/>
      <c r="S10" s="255"/>
    </row>
    <row r="11" spans="1:19" x14ac:dyDescent="0.2">
      <c r="A11" s="38"/>
      <c r="B11" s="37"/>
      <c r="C11" s="37" t="s">
        <v>278</v>
      </c>
      <c r="D11" s="37"/>
      <c r="E11" s="37"/>
      <c r="F11" s="37"/>
      <c r="G11" s="37"/>
      <c r="H11" s="37"/>
      <c r="I11" s="37"/>
      <c r="J11" s="37"/>
      <c r="K11" s="36"/>
    </row>
    <row r="12" spans="1:19" x14ac:dyDescent="0.2">
      <c r="A12" s="38"/>
      <c r="B12" s="37"/>
      <c r="C12" s="37" t="s">
        <v>277</v>
      </c>
      <c r="D12" s="37"/>
      <c r="E12" s="37"/>
      <c r="F12" s="37"/>
      <c r="G12" s="37"/>
      <c r="H12" s="37"/>
      <c r="I12" s="37"/>
      <c r="J12" s="37"/>
      <c r="K12" s="36"/>
      <c r="M12" s="64" t="s">
        <v>166</v>
      </c>
    </row>
    <row r="13" spans="1:19" x14ac:dyDescent="0.2">
      <c r="A13" s="38"/>
      <c r="B13" s="37"/>
      <c r="C13" s="37"/>
      <c r="D13" s="37"/>
      <c r="E13" s="37"/>
      <c r="F13" s="37"/>
      <c r="G13" s="37"/>
      <c r="H13" s="37"/>
      <c r="I13" s="37"/>
      <c r="J13" s="37"/>
      <c r="K13" s="36"/>
      <c r="M13" s="255" t="s">
        <v>276</v>
      </c>
      <c r="N13" s="255"/>
      <c r="O13" s="255"/>
      <c r="P13" s="255"/>
      <c r="Q13" s="255"/>
      <c r="R13" s="255"/>
      <c r="S13" s="255"/>
    </row>
    <row r="14" spans="1:19" x14ac:dyDescent="0.2">
      <c r="A14" s="38" t="s">
        <v>40</v>
      </c>
      <c r="B14" s="39" t="s">
        <v>35</v>
      </c>
      <c r="C14" s="37" t="s">
        <v>275</v>
      </c>
      <c r="D14" s="37"/>
      <c r="E14" s="37"/>
      <c r="F14" s="37"/>
      <c r="G14" s="37"/>
      <c r="H14" s="37"/>
      <c r="I14" s="37"/>
      <c r="J14" s="37"/>
      <c r="K14" s="36"/>
      <c r="M14" s="255"/>
      <c r="N14" s="255"/>
      <c r="O14" s="255"/>
      <c r="P14" s="255"/>
      <c r="Q14" s="255"/>
      <c r="R14" s="255"/>
      <c r="S14" s="255"/>
    </row>
    <row r="15" spans="1:19" x14ac:dyDescent="0.2">
      <c r="A15" s="38"/>
      <c r="B15" s="39"/>
      <c r="C15" s="37" t="s">
        <v>272</v>
      </c>
      <c r="D15" s="37"/>
      <c r="E15" s="37"/>
      <c r="F15" s="37"/>
      <c r="G15" s="37"/>
      <c r="H15" s="37"/>
      <c r="I15" s="37"/>
      <c r="J15" s="37"/>
      <c r="K15" s="36"/>
      <c r="M15" s="1" t="s">
        <v>274</v>
      </c>
    </row>
    <row r="16" spans="1:19" x14ac:dyDescent="0.2">
      <c r="A16" s="38"/>
      <c r="B16" s="39"/>
      <c r="C16" s="37"/>
      <c r="D16" s="37"/>
      <c r="E16" s="37"/>
      <c r="F16" s="37"/>
      <c r="G16" s="37"/>
      <c r="H16" s="37"/>
      <c r="I16" s="37"/>
      <c r="J16" s="37"/>
      <c r="K16" s="36"/>
    </row>
    <row r="17" spans="1:19" x14ac:dyDescent="0.2">
      <c r="A17" s="38" t="s">
        <v>36</v>
      </c>
      <c r="B17" s="39" t="s">
        <v>35</v>
      </c>
      <c r="C17" s="37" t="s">
        <v>273</v>
      </c>
      <c r="D17" s="37"/>
      <c r="E17" s="37"/>
      <c r="F17" s="37"/>
      <c r="G17" s="37"/>
      <c r="H17" s="37"/>
      <c r="I17" s="37"/>
      <c r="J17" s="37"/>
      <c r="K17" s="36"/>
    </row>
    <row r="18" spans="1:19" ht="19" x14ac:dyDescent="0.25">
      <c r="A18" s="38"/>
      <c r="B18" s="39"/>
      <c r="C18" s="37" t="s">
        <v>272</v>
      </c>
      <c r="D18" s="37"/>
      <c r="E18" s="37"/>
      <c r="F18" s="37"/>
      <c r="G18" s="37"/>
      <c r="H18" s="37"/>
      <c r="I18" s="37"/>
      <c r="J18" s="37"/>
      <c r="K18" s="36"/>
      <c r="M18" s="72" t="s">
        <v>3</v>
      </c>
    </row>
    <row r="19" spans="1:19" x14ac:dyDescent="0.2">
      <c r="A19" s="38"/>
      <c r="B19" s="39"/>
      <c r="C19" s="37"/>
      <c r="D19" s="37"/>
      <c r="E19" s="37"/>
      <c r="F19" s="37"/>
      <c r="G19" s="37"/>
      <c r="H19" s="37"/>
      <c r="I19" s="37"/>
      <c r="J19" s="37"/>
      <c r="K19" s="36"/>
      <c r="M19" s="255" t="s">
        <v>271</v>
      </c>
      <c r="N19" s="255"/>
      <c r="O19" s="255"/>
      <c r="P19" s="255"/>
      <c r="Q19" s="255"/>
      <c r="R19" s="255"/>
      <c r="S19" s="255"/>
    </row>
    <row r="20" spans="1:19" x14ac:dyDescent="0.2">
      <c r="A20" s="38" t="s">
        <v>173</v>
      </c>
      <c r="B20" s="39" t="s">
        <v>35</v>
      </c>
      <c r="C20" s="37" t="s">
        <v>270</v>
      </c>
      <c r="D20" s="37"/>
      <c r="E20" s="37"/>
      <c r="F20" s="37"/>
      <c r="G20" s="37"/>
      <c r="H20" s="37"/>
      <c r="I20" s="37"/>
      <c r="J20" s="37"/>
      <c r="K20" s="36"/>
      <c r="M20" s="255"/>
      <c r="N20" s="255"/>
      <c r="O20" s="255"/>
      <c r="P20" s="255"/>
      <c r="Q20" s="255"/>
      <c r="R20" s="255"/>
      <c r="S20" s="255"/>
    </row>
    <row r="21" spans="1:19" x14ac:dyDescent="0.2">
      <c r="A21" s="38"/>
      <c r="B21" s="40"/>
      <c r="C21" s="37" t="s">
        <v>269</v>
      </c>
      <c r="D21" s="37"/>
      <c r="E21" s="37"/>
      <c r="F21" s="37"/>
      <c r="G21" s="37"/>
      <c r="H21" s="37"/>
      <c r="I21" s="37"/>
      <c r="J21" s="37"/>
      <c r="K21" s="36"/>
    </row>
    <row r="22" spans="1:19" ht="17" thickBot="1" x14ac:dyDescent="0.25">
      <c r="A22" s="38"/>
      <c r="B22" s="40"/>
      <c r="C22" s="37"/>
      <c r="D22" s="37"/>
      <c r="E22" s="37"/>
      <c r="F22" s="37"/>
      <c r="G22" s="37"/>
      <c r="H22" s="37"/>
      <c r="I22" s="37"/>
      <c r="J22" s="37"/>
      <c r="K22" s="36"/>
    </row>
    <row r="23" spans="1:19" ht="17" thickBot="1" x14ac:dyDescent="0.25">
      <c r="A23" s="35" t="s">
        <v>32</v>
      </c>
      <c r="B23" s="33"/>
      <c r="C23" s="34"/>
      <c r="D23" s="33"/>
      <c r="E23" s="33"/>
      <c r="F23" s="33"/>
      <c r="G23" s="33"/>
      <c r="H23" s="33"/>
      <c r="I23" s="33"/>
      <c r="J23" s="33"/>
      <c r="K23" s="32"/>
    </row>
  </sheetData>
  <mergeCells count="3">
    <mergeCell ref="M9:S10"/>
    <mergeCell ref="M13:S14"/>
    <mergeCell ref="M19:S20"/>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532E-0BC7-AB4E-B517-F5DD7D1EF89E}">
  <dimension ref="A1:X70"/>
  <sheetViews>
    <sheetView workbookViewId="0">
      <selection activeCell="B1" sqref="B1"/>
    </sheetView>
  </sheetViews>
  <sheetFormatPr baseColWidth="10" defaultColWidth="11" defaultRowHeight="16" outlineLevelCol="1" x14ac:dyDescent="0.2"/>
  <cols>
    <col min="1" max="1" width="4" style="2" customWidth="1"/>
    <col min="2" max="2" width="11.5" style="1" customWidth="1"/>
    <col min="3" max="7" width="11" style="1"/>
    <col min="8" max="8" width="4.1640625" style="1" customWidth="1"/>
    <col min="9" max="15" width="11" style="1"/>
    <col min="16" max="22" width="10.83203125" style="1" hidden="1" customWidth="1" outlineLevel="1"/>
    <col min="23" max="23" width="11.83203125" style="1" hidden="1" customWidth="1" outlineLevel="1"/>
    <col min="24" max="24" width="11" style="1" collapsed="1"/>
    <col min="25" max="16384" width="11" style="1"/>
  </cols>
  <sheetData>
    <row r="1" spans="1:22" x14ac:dyDescent="0.2">
      <c r="A1" s="71"/>
      <c r="B1" s="70" t="s">
        <v>70</v>
      </c>
      <c r="C1" s="69" t="s">
        <v>289</v>
      </c>
      <c r="D1" s="69" t="s">
        <v>68</v>
      </c>
      <c r="E1" s="69" t="s">
        <v>308</v>
      </c>
      <c r="F1" s="68"/>
      <c r="G1" s="68"/>
      <c r="H1" s="68"/>
      <c r="I1" s="68"/>
      <c r="J1" s="68"/>
      <c r="K1" s="68"/>
      <c r="L1" s="68"/>
      <c r="M1" s="68"/>
      <c r="N1" s="67"/>
      <c r="O1" s="64" t="s">
        <v>66</v>
      </c>
    </row>
    <row r="2" spans="1:22" x14ac:dyDescent="0.2">
      <c r="A2" s="38"/>
      <c r="B2" s="66" t="s">
        <v>65</v>
      </c>
      <c r="C2" s="65">
        <v>3</v>
      </c>
      <c r="D2" s="37"/>
      <c r="E2" s="37"/>
      <c r="F2" s="37"/>
      <c r="G2" s="37"/>
      <c r="H2" s="37"/>
      <c r="I2" s="37"/>
      <c r="J2" s="37"/>
      <c r="K2" s="37"/>
      <c r="L2" s="37"/>
      <c r="M2" s="37"/>
      <c r="N2" s="36"/>
    </row>
    <row r="3" spans="1:22" x14ac:dyDescent="0.2">
      <c r="A3" s="38"/>
      <c r="B3" s="37"/>
      <c r="C3" s="37"/>
      <c r="D3" s="37"/>
      <c r="E3" s="37"/>
      <c r="F3" s="37"/>
      <c r="G3" s="37"/>
      <c r="H3" s="37"/>
      <c r="I3" s="37"/>
      <c r="J3" s="37"/>
      <c r="K3" s="37"/>
      <c r="L3" s="37"/>
      <c r="M3" s="37"/>
      <c r="N3" s="36"/>
      <c r="P3" s="64" t="s">
        <v>64</v>
      </c>
    </row>
    <row r="4" spans="1:22" x14ac:dyDescent="0.2">
      <c r="A4" s="38"/>
      <c r="B4" s="37"/>
      <c r="C4" s="37" t="s">
        <v>307</v>
      </c>
      <c r="D4" s="37"/>
      <c r="E4" s="37"/>
      <c r="F4" s="37"/>
      <c r="G4" s="37"/>
      <c r="H4" s="37"/>
      <c r="I4" s="37"/>
      <c r="J4" s="37"/>
      <c r="K4" s="37"/>
      <c r="L4" s="37"/>
      <c r="M4" s="37"/>
      <c r="N4" s="36"/>
    </row>
    <row r="5" spans="1:22" x14ac:dyDescent="0.2">
      <c r="A5" s="38"/>
      <c r="B5" s="37"/>
      <c r="C5" s="37" t="s">
        <v>306</v>
      </c>
      <c r="D5" s="37"/>
      <c r="E5" s="37"/>
      <c r="F5" s="37"/>
      <c r="G5" s="37"/>
      <c r="H5" s="37"/>
      <c r="I5" s="37"/>
      <c r="J5" s="37"/>
      <c r="K5" s="37"/>
      <c r="L5" s="37"/>
      <c r="M5" s="37"/>
      <c r="N5" s="36"/>
      <c r="P5" s="1" t="s">
        <v>305</v>
      </c>
    </row>
    <row r="6" spans="1:22" x14ac:dyDescent="0.2">
      <c r="A6" s="38"/>
      <c r="B6" s="37"/>
      <c r="C6" s="37"/>
      <c r="D6" s="37"/>
      <c r="E6" s="37"/>
      <c r="F6" s="37"/>
      <c r="G6" s="37"/>
      <c r="H6" s="37"/>
      <c r="I6" s="37"/>
      <c r="J6" s="37"/>
      <c r="K6" s="37"/>
      <c r="L6" s="37"/>
      <c r="M6" s="37"/>
      <c r="N6" s="36"/>
    </row>
    <row r="7" spans="1:22" x14ac:dyDescent="0.2">
      <c r="A7" s="38"/>
      <c r="B7" s="37"/>
      <c r="C7" s="278" t="s">
        <v>304</v>
      </c>
      <c r="D7" s="278"/>
      <c r="E7" s="278"/>
      <c r="F7" s="278"/>
      <c r="G7" s="278"/>
      <c r="H7" s="37"/>
      <c r="I7" s="278" t="s">
        <v>303</v>
      </c>
      <c r="J7" s="278"/>
      <c r="K7" s="278"/>
      <c r="L7" s="278"/>
      <c r="M7" s="278"/>
      <c r="N7" s="36"/>
      <c r="P7" s="24" t="s">
        <v>21</v>
      </c>
      <c r="Q7" s="114"/>
      <c r="R7" s="114"/>
      <c r="S7" s="114"/>
      <c r="T7" s="114"/>
    </row>
    <row r="8" spans="1:22" ht="17" x14ac:dyDescent="0.2">
      <c r="A8" s="38"/>
      <c r="B8" s="37"/>
      <c r="C8" s="63" t="s">
        <v>21</v>
      </c>
      <c r="D8" s="62"/>
      <c r="E8" s="146"/>
      <c r="F8" s="62"/>
      <c r="G8" s="61"/>
      <c r="H8" s="37"/>
      <c r="I8" s="62" t="s">
        <v>21</v>
      </c>
      <c r="J8" s="146"/>
      <c r="K8" s="62"/>
      <c r="L8" s="146"/>
      <c r="M8" s="62"/>
      <c r="N8" s="36"/>
      <c r="P8" s="16" t="s">
        <v>17</v>
      </c>
      <c r="Q8" s="111">
        <v>12</v>
      </c>
      <c r="R8" s="111">
        <v>24</v>
      </c>
      <c r="S8" s="111">
        <v>36</v>
      </c>
      <c r="T8" s="111">
        <v>48</v>
      </c>
    </row>
    <row r="9" spans="1:22" x14ac:dyDescent="0.2">
      <c r="A9" s="38"/>
      <c r="B9" s="37"/>
      <c r="C9" s="55" t="s">
        <v>17</v>
      </c>
      <c r="D9" s="42">
        <v>12</v>
      </c>
      <c r="E9" s="144">
        <v>24</v>
      </c>
      <c r="F9" s="42">
        <v>36</v>
      </c>
      <c r="G9" s="54">
        <v>48</v>
      </c>
      <c r="H9" s="37"/>
      <c r="I9" s="42" t="s">
        <v>17</v>
      </c>
      <c r="J9" s="144">
        <v>12</v>
      </c>
      <c r="K9" s="42">
        <v>24</v>
      </c>
      <c r="L9" s="144">
        <v>36</v>
      </c>
      <c r="M9" s="42">
        <v>48</v>
      </c>
      <c r="N9" s="36"/>
      <c r="P9" s="11">
        <f>C10</f>
        <v>2012</v>
      </c>
      <c r="Q9" s="28">
        <f>D10/D18</f>
        <v>0.72499999999999998</v>
      </c>
      <c r="R9" s="28">
        <f>E10/E18</f>
        <v>0.89552238805970152</v>
      </c>
      <c r="S9" s="169">
        <f>F10/F18</f>
        <v>0.93055555555555558</v>
      </c>
      <c r="T9" s="169">
        <f>G10/G18</f>
        <v>0.96575342465753422</v>
      </c>
    </row>
    <row r="10" spans="1:22" x14ac:dyDescent="0.2">
      <c r="A10" s="38"/>
      <c r="B10" s="37"/>
      <c r="C10" s="42">
        <v>2012</v>
      </c>
      <c r="D10" s="42">
        <v>435</v>
      </c>
      <c r="E10" s="42">
        <v>600</v>
      </c>
      <c r="F10" s="42">
        <v>670</v>
      </c>
      <c r="G10" s="42">
        <v>705</v>
      </c>
      <c r="H10" s="37"/>
      <c r="I10" s="42">
        <v>2012</v>
      </c>
      <c r="J10" s="42">
        <v>393</v>
      </c>
      <c r="K10" s="42">
        <v>650</v>
      </c>
      <c r="L10" s="42">
        <v>765</v>
      </c>
      <c r="M10" s="42">
        <v>776</v>
      </c>
      <c r="N10" s="36"/>
      <c r="P10" s="11">
        <f>C11</f>
        <v>2013</v>
      </c>
      <c r="Q10" s="28">
        <f>D11/D19</f>
        <v>0.8125</v>
      </c>
      <c r="R10" s="169">
        <f>E11/E19</f>
        <v>0.97902097902097907</v>
      </c>
      <c r="S10" s="169">
        <f>F11/F19</f>
        <v>0.98666666666666669</v>
      </c>
      <c r="T10" s="28"/>
    </row>
    <row r="11" spans="1:22" x14ac:dyDescent="0.2">
      <c r="A11" s="38"/>
      <c r="B11" s="37"/>
      <c r="C11" s="51">
        <v>2013</v>
      </c>
      <c r="D11" s="51">
        <v>520</v>
      </c>
      <c r="E11" s="51">
        <v>700</v>
      </c>
      <c r="F11" s="51">
        <v>740</v>
      </c>
      <c r="G11" s="51"/>
      <c r="H11" s="37"/>
      <c r="I11" s="51">
        <v>2013</v>
      </c>
      <c r="J11" s="51">
        <v>511</v>
      </c>
      <c r="K11" s="51">
        <v>697</v>
      </c>
      <c r="L11" s="51">
        <v>744</v>
      </c>
      <c r="M11" s="51"/>
      <c r="N11" s="36"/>
      <c r="P11" s="11">
        <f>C12</f>
        <v>2014</v>
      </c>
      <c r="Q11" s="169">
        <f>D12/D20</f>
        <v>0.967741935483871</v>
      </c>
      <c r="R11" s="169">
        <f>E12/E20</f>
        <v>0.94202898550724634</v>
      </c>
      <c r="S11" s="28"/>
      <c r="T11" s="28"/>
    </row>
    <row r="12" spans="1:22" x14ac:dyDescent="0.2">
      <c r="A12" s="38"/>
      <c r="B12" s="37"/>
      <c r="C12" s="51">
        <v>2014</v>
      </c>
      <c r="D12" s="51">
        <v>600</v>
      </c>
      <c r="E12" s="51">
        <v>650</v>
      </c>
      <c r="F12" s="51"/>
      <c r="G12" s="51"/>
      <c r="H12" s="37"/>
      <c r="I12" s="51">
        <v>2014</v>
      </c>
      <c r="J12" s="51">
        <v>637</v>
      </c>
      <c r="K12" s="51">
        <v>825</v>
      </c>
      <c r="L12" s="51"/>
      <c r="M12" s="51"/>
      <c r="N12" s="36"/>
      <c r="P12" s="11">
        <f>C13</f>
        <v>2015</v>
      </c>
      <c r="Q12" s="169">
        <f>D13/D21</f>
        <v>0.9538461538461539</v>
      </c>
      <c r="R12" s="28"/>
      <c r="S12" s="28"/>
      <c r="T12" s="28"/>
    </row>
    <row r="13" spans="1:22" x14ac:dyDescent="0.2">
      <c r="A13" s="38"/>
      <c r="B13" s="40"/>
      <c r="C13" s="51">
        <v>2015</v>
      </c>
      <c r="D13" s="51">
        <v>620</v>
      </c>
      <c r="E13" s="51"/>
      <c r="F13" s="51"/>
      <c r="G13" s="51"/>
      <c r="H13" s="37"/>
      <c r="I13" s="51">
        <v>2015</v>
      </c>
      <c r="J13" s="51">
        <v>722</v>
      </c>
      <c r="K13" s="51"/>
      <c r="L13" s="51"/>
      <c r="M13" s="51"/>
      <c r="N13" s="36"/>
    </row>
    <row r="14" spans="1:22" x14ac:dyDescent="0.2">
      <c r="A14" s="38"/>
      <c r="B14" s="40"/>
      <c r="C14" s="37"/>
      <c r="D14" s="37"/>
      <c r="E14" s="37"/>
      <c r="F14" s="37"/>
      <c r="G14" s="37"/>
      <c r="H14" s="37"/>
      <c r="I14" s="37"/>
      <c r="J14" s="37"/>
      <c r="K14" s="37"/>
      <c r="L14" s="37"/>
      <c r="M14" s="37"/>
      <c r="N14" s="36"/>
      <c r="P14" s="255" t="s">
        <v>302</v>
      </c>
      <c r="Q14" s="255"/>
      <c r="R14" s="255"/>
      <c r="S14" s="255"/>
      <c r="T14" s="255"/>
      <c r="U14" s="255"/>
      <c r="V14" s="255"/>
    </row>
    <row r="15" spans="1:22" x14ac:dyDescent="0.2">
      <c r="A15" s="38"/>
      <c r="B15" s="40"/>
      <c r="C15" s="278" t="s">
        <v>301</v>
      </c>
      <c r="D15" s="278"/>
      <c r="E15" s="278"/>
      <c r="F15" s="278"/>
      <c r="G15" s="278"/>
      <c r="H15" s="37"/>
      <c r="I15" s="278" t="s">
        <v>300</v>
      </c>
      <c r="J15" s="278"/>
      <c r="K15" s="278"/>
      <c r="L15" s="278"/>
      <c r="M15" s="278"/>
      <c r="N15" s="36"/>
      <c r="P15" s="255"/>
      <c r="Q15" s="255"/>
      <c r="R15" s="255"/>
      <c r="S15" s="255"/>
      <c r="T15" s="255"/>
      <c r="U15" s="255"/>
      <c r="V15" s="255"/>
    </row>
    <row r="16" spans="1:22" x14ac:dyDescent="0.2">
      <c r="A16" s="38"/>
      <c r="B16" s="40"/>
      <c r="C16" s="63" t="s">
        <v>21</v>
      </c>
      <c r="D16" s="62"/>
      <c r="E16" s="146"/>
      <c r="F16" s="62"/>
      <c r="G16" s="61"/>
      <c r="H16" s="37"/>
      <c r="I16" s="63" t="s">
        <v>21</v>
      </c>
      <c r="J16" s="62"/>
      <c r="K16" s="146"/>
      <c r="L16" s="62"/>
      <c r="M16" s="61"/>
      <c r="N16" s="36"/>
    </row>
    <row r="17" spans="1:23" x14ac:dyDescent="0.2">
      <c r="A17" s="38"/>
      <c r="B17" s="40"/>
      <c r="C17" s="55" t="s">
        <v>17</v>
      </c>
      <c r="D17" s="42">
        <v>12</v>
      </c>
      <c r="E17" s="144">
        <v>24</v>
      </c>
      <c r="F17" s="42">
        <v>36</v>
      </c>
      <c r="G17" s="54">
        <v>48</v>
      </c>
      <c r="H17" s="37"/>
      <c r="I17" s="55" t="s">
        <v>17</v>
      </c>
      <c r="J17" s="42">
        <v>12</v>
      </c>
      <c r="K17" s="144">
        <v>24</v>
      </c>
      <c r="L17" s="42">
        <v>36</v>
      </c>
      <c r="M17" s="54">
        <v>48</v>
      </c>
      <c r="N17" s="36"/>
    </row>
    <row r="18" spans="1:23" x14ac:dyDescent="0.2">
      <c r="A18" s="38"/>
      <c r="B18" s="40"/>
      <c r="C18" s="42">
        <v>2012</v>
      </c>
      <c r="D18" s="42">
        <v>600</v>
      </c>
      <c r="E18" s="42">
        <v>670</v>
      </c>
      <c r="F18" s="42">
        <v>720</v>
      </c>
      <c r="G18" s="42">
        <v>730</v>
      </c>
      <c r="H18" s="37"/>
      <c r="I18" s="42">
        <v>2012</v>
      </c>
      <c r="J18" s="42">
        <v>560</v>
      </c>
      <c r="K18" s="42">
        <v>720</v>
      </c>
      <c r="L18" s="42">
        <v>780</v>
      </c>
      <c r="M18" s="42">
        <v>790</v>
      </c>
      <c r="N18" s="36"/>
      <c r="P18" s="64" t="s">
        <v>11</v>
      </c>
    </row>
    <row r="19" spans="1:23" x14ac:dyDescent="0.2">
      <c r="A19" s="38"/>
      <c r="B19" s="40"/>
      <c r="C19" s="51">
        <v>2013</v>
      </c>
      <c r="D19" s="51">
        <v>640</v>
      </c>
      <c r="E19" s="51">
        <v>715</v>
      </c>
      <c r="F19" s="51">
        <v>750</v>
      </c>
      <c r="G19" s="51"/>
      <c r="H19" s="37"/>
      <c r="I19" s="51">
        <v>2013</v>
      </c>
      <c r="J19" s="51">
        <v>580</v>
      </c>
      <c r="K19" s="51">
        <v>720</v>
      </c>
      <c r="L19" s="51">
        <v>760</v>
      </c>
      <c r="M19" s="51"/>
      <c r="N19" s="36"/>
      <c r="P19" s="1" t="s">
        <v>299</v>
      </c>
    </row>
    <row r="20" spans="1:23" x14ac:dyDescent="0.2">
      <c r="A20" s="38"/>
      <c r="B20" s="40"/>
      <c r="C20" s="51">
        <v>2014</v>
      </c>
      <c r="D20" s="51">
        <v>620</v>
      </c>
      <c r="E20" s="51">
        <v>690</v>
      </c>
      <c r="F20" s="51"/>
      <c r="G20" s="51"/>
      <c r="H20" s="37"/>
      <c r="I20" s="51">
        <v>2014</v>
      </c>
      <c r="J20" s="51">
        <v>670</v>
      </c>
      <c r="K20" s="51">
        <v>850</v>
      </c>
      <c r="L20" s="51"/>
      <c r="M20" s="51"/>
      <c r="N20" s="36"/>
    </row>
    <row r="21" spans="1:23" x14ac:dyDescent="0.2">
      <c r="A21" s="38"/>
      <c r="B21" s="40"/>
      <c r="C21" s="51">
        <v>2015</v>
      </c>
      <c r="D21" s="51">
        <v>650</v>
      </c>
      <c r="E21" s="51"/>
      <c r="F21" s="51"/>
      <c r="G21" s="51"/>
      <c r="H21" s="37"/>
      <c r="I21" s="51">
        <v>2015</v>
      </c>
      <c r="J21" s="51">
        <v>760</v>
      </c>
      <c r="K21" s="51"/>
      <c r="L21" s="51"/>
      <c r="M21" s="51"/>
      <c r="N21" s="36"/>
      <c r="P21" s="5"/>
      <c r="Q21" s="5"/>
      <c r="R21" s="5"/>
      <c r="S21" s="5"/>
      <c r="T21" s="5"/>
      <c r="U21" s="5"/>
      <c r="V21" s="5"/>
      <c r="W21" s="5"/>
    </row>
    <row r="22" spans="1:23" x14ac:dyDescent="0.2">
      <c r="A22" s="38"/>
      <c r="B22" s="40"/>
      <c r="C22" s="37"/>
      <c r="D22" s="37"/>
      <c r="E22" s="37"/>
      <c r="F22" s="37"/>
      <c r="G22" s="37"/>
      <c r="H22" s="37"/>
      <c r="I22" s="37"/>
      <c r="J22" s="37"/>
      <c r="K22" s="37"/>
      <c r="L22" s="37"/>
      <c r="M22" s="37"/>
      <c r="N22" s="36"/>
      <c r="P22" s="266" t="s">
        <v>124</v>
      </c>
      <c r="Q22" s="266"/>
      <c r="R22" s="266"/>
      <c r="S22" s="266"/>
      <c r="T22" s="266"/>
      <c r="U22" s="114"/>
      <c r="V22" s="5"/>
      <c r="W22" s="5"/>
    </row>
    <row r="23" spans="1:23" x14ac:dyDescent="0.2">
      <c r="A23" s="38"/>
      <c r="B23" s="40"/>
      <c r="C23" s="37" t="s">
        <v>298</v>
      </c>
      <c r="D23" s="37"/>
      <c r="E23" s="37"/>
      <c r="F23" s="37"/>
      <c r="G23" s="39">
        <v>1.03</v>
      </c>
      <c r="H23" s="37"/>
      <c r="I23" s="37"/>
      <c r="J23" s="37"/>
      <c r="K23" s="37"/>
      <c r="L23" s="37"/>
      <c r="M23" s="37"/>
      <c r="N23" s="36"/>
      <c r="P23" s="24" t="s">
        <v>21</v>
      </c>
      <c r="Q23" s="10"/>
      <c r="R23" s="10"/>
      <c r="S23" s="10"/>
      <c r="T23" s="10"/>
      <c r="U23" s="10"/>
      <c r="V23" s="5"/>
      <c r="W23" s="5"/>
    </row>
    <row r="24" spans="1:23" ht="17" x14ac:dyDescent="0.2">
      <c r="A24" s="38"/>
      <c r="B24" s="40"/>
      <c r="C24" s="37" t="s">
        <v>297</v>
      </c>
      <c r="D24" s="37"/>
      <c r="E24" s="37"/>
      <c r="F24" s="37"/>
      <c r="G24" s="39">
        <v>1.06</v>
      </c>
      <c r="H24" s="37"/>
      <c r="I24" s="37"/>
      <c r="J24" s="37"/>
      <c r="K24" s="37"/>
      <c r="L24" s="37"/>
      <c r="M24" s="37"/>
      <c r="N24" s="36"/>
      <c r="P24" s="16" t="s">
        <v>17</v>
      </c>
      <c r="Q24" s="112" t="s">
        <v>113</v>
      </c>
      <c r="R24" s="111" t="s">
        <v>112</v>
      </c>
      <c r="S24" s="111" t="s">
        <v>111</v>
      </c>
      <c r="T24" s="108"/>
      <c r="U24" s="108"/>
      <c r="V24" s="5"/>
      <c r="W24" s="5"/>
    </row>
    <row r="25" spans="1:23" x14ac:dyDescent="0.2">
      <c r="A25" s="38"/>
      <c r="B25" s="40"/>
      <c r="C25" s="37" t="s">
        <v>296</v>
      </c>
      <c r="D25" s="37"/>
      <c r="E25" s="37"/>
      <c r="F25" s="37"/>
      <c r="G25" s="39">
        <v>1.1499999999999999</v>
      </c>
      <c r="H25" s="37"/>
      <c r="I25" s="37"/>
      <c r="J25" s="37"/>
      <c r="K25" s="37"/>
      <c r="L25" s="37"/>
      <c r="M25" s="37"/>
      <c r="N25" s="36"/>
      <c r="P25" s="11">
        <f>C18</f>
        <v>2012</v>
      </c>
      <c r="Q25" s="108">
        <f>E18/D18</f>
        <v>1.1166666666666667</v>
      </c>
      <c r="R25" s="108">
        <f>F18/E18</f>
        <v>1.0746268656716418</v>
      </c>
      <c r="S25" s="108">
        <f>G18/F18</f>
        <v>1.0138888888888888</v>
      </c>
      <c r="T25" s="108"/>
      <c r="U25" s="108"/>
      <c r="V25" s="5"/>
      <c r="W25" s="5"/>
    </row>
    <row r="26" spans="1:23" x14ac:dyDescent="0.2">
      <c r="A26" s="38"/>
      <c r="B26" s="40"/>
      <c r="C26" s="37" t="s">
        <v>295</v>
      </c>
      <c r="D26" s="37"/>
      <c r="E26" s="37"/>
      <c r="F26" s="37"/>
      <c r="G26" s="39">
        <v>1.02</v>
      </c>
      <c r="H26" s="37"/>
      <c r="I26" s="37"/>
      <c r="J26" s="37"/>
      <c r="K26" s="37"/>
      <c r="L26" s="37"/>
      <c r="M26" s="37"/>
      <c r="N26" s="36"/>
      <c r="P26" s="11">
        <f>C19</f>
        <v>2013</v>
      </c>
      <c r="Q26" s="108">
        <f>E19/D19</f>
        <v>1.1171875</v>
      </c>
      <c r="R26" s="108">
        <f>F19/E19</f>
        <v>1.048951048951049</v>
      </c>
      <c r="S26" s="108"/>
      <c r="T26" s="108"/>
      <c r="U26" s="108"/>
      <c r="V26" s="5"/>
      <c r="W26" s="5"/>
    </row>
    <row r="27" spans="1:23" x14ac:dyDescent="0.2">
      <c r="A27" s="38"/>
      <c r="B27" s="40"/>
      <c r="C27" s="37"/>
      <c r="D27" s="37"/>
      <c r="E27" s="37"/>
      <c r="F27" s="37"/>
      <c r="G27" s="37"/>
      <c r="H27" s="37"/>
      <c r="I27" s="37"/>
      <c r="J27" s="37"/>
      <c r="K27" s="37"/>
      <c r="L27" s="37"/>
      <c r="M27" s="37"/>
      <c r="N27" s="36"/>
      <c r="P27" s="11">
        <f>C20</f>
        <v>2014</v>
      </c>
      <c r="Q27" s="108">
        <f>E20/D20</f>
        <v>1.1129032258064515</v>
      </c>
      <c r="R27" s="108"/>
      <c r="S27" s="108"/>
      <c r="T27" s="108"/>
      <c r="U27" s="108"/>
      <c r="V27" s="5"/>
      <c r="W27" s="5"/>
    </row>
    <row r="28" spans="1:23" x14ac:dyDescent="0.2">
      <c r="A28" s="38" t="s">
        <v>40</v>
      </c>
      <c r="B28" s="39" t="s">
        <v>35</v>
      </c>
      <c r="C28" s="37" t="s">
        <v>294</v>
      </c>
      <c r="D28" s="37"/>
      <c r="E28" s="37"/>
      <c r="F28" s="37"/>
      <c r="G28" s="37"/>
      <c r="H28" s="37"/>
      <c r="I28" s="37"/>
      <c r="J28" s="37"/>
      <c r="K28" s="37"/>
      <c r="L28" s="37"/>
      <c r="M28" s="37"/>
      <c r="N28" s="36"/>
      <c r="P28" s="10"/>
      <c r="Q28" s="10"/>
      <c r="R28" s="10"/>
      <c r="S28" s="10"/>
      <c r="T28" s="10"/>
      <c r="U28" s="10"/>
      <c r="V28" s="10"/>
      <c r="W28" s="5"/>
    </row>
    <row r="29" spans="1:23" ht="17" x14ac:dyDescent="0.2">
      <c r="A29" s="38"/>
      <c r="B29" s="40"/>
      <c r="C29" s="37"/>
      <c r="D29" s="37"/>
      <c r="E29" s="37"/>
      <c r="F29" s="37"/>
      <c r="G29" s="37"/>
      <c r="H29" s="37"/>
      <c r="I29" s="37"/>
      <c r="J29" s="37"/>
      <c r="K29" s="37"/>
      <c r="L29" s="37"/>
      <c r="M29" s="37"/>
      <c r="N29" s="36"/>
      <c r="P29" s="16"/>
      <c r="Q29" s="112" t="s">
        <v>113</v>
      </c>
      <c r="R29" s="111" t="s">
        <v>112</v>
      </c>
      <c r="S29" s="111" t="s">
        <v>111</v>
      </c>
      <c r="T29" s="111" t="s">
        <v>110</v>
      </c>
      <c r="U29" s="10"/>
      <c r="V29" s="10"/>
      <c r="W29" s="5"/>
    </row>
    <row r="30" spans="1:23" x14ac:dyDescent="0.2">
      <c r="A30" s="38" t="s">
        <v>36</v>
      </c>
      <c r="B30" s="39" t="s">
        <v>293</v>
      </c>
      <c r="C30" s="37" t="s">
        <v>292</v>
      </c>
      <c r="D30" s="37"/>
      <c r="E30" s="37"/>
      <c r="F30" s="37"/>
      <c r="G30" s="37"/>
      <c r="H30" s="37"/>
      <c r="I30" s="37"/>
      <c r="J30" s="37"/>
      <c r="K30" s="37"/>
      <c r="L30" s="37"/>
      <c r="M30" s="37"/>
      <c r="N30" s="36"/>
      <c r="P30" s="110" t="s">
        <v>109</v>
      </c>
      <c r="Q30" s="108">
        <f>AVERAGE(Q25:Q27)</f>
        <v>1.1155857974910395</v>
      </c>
      <c r="R30" s="108">
        <f>AVERAGE(R25:R27)</f>
        <v>1.0617889573113453</v>
      </c>
      <c r="S30" s="108">
        <f>AVERAGE(S25:S27)</f>
        <v>1.0138888888888888</v>
      </c>
      <c r="T30" s="108">
        <f>G23</f>
        <v>1.03</v>
      </c>
      <c r="U30" s="10"/>
      <c r="V30" s="10"/>
      <c r="W30" s="5"/>
    </row>
    <row r="31" spans="1:23" ht="17" thickBot="1" x14ac:dyDescent="0.25">
      <c r="A31" s="38"/>
      <c r="B31" s="40"/>
      <c r="C31" s="37"/>
      <c r="D31" s="37"/>
      <c r="E31" s="37"/>
      <c r="F31" s="37"/>
      <c r="G31" s="37"/>
      <c r="H31" s="37"/>
      <c r="I31" s="37"/>
      <c r="J31" s="37"/>
      <c r="K31" s="37"/>
      <c r="L31" s="37"/>
      <c r="M31" s="37"/>
      <c r="N31" s="36"/>
      <c r="P31" s="110" t="s">
        <v>104</v>
      </c>
      <c r="Q31" s="109">
        <f>Q30*R31</f>
        <v>1.2369973503130069</v>
      </c>
      <c r="R31" s="109">
        <f>R30*S31</f>
        <v>1.1088321069477785</v>
      </c>
      <c r="S31" s="109">
        <f>S30*T31</f>
        <v>1.0443055555555556</v>
      </c>
      <c r="T31" s="109">
        <f>T30</f>
        <v>1.03</v>
      </c>
      <c r="U31" s="10"/>
      <c r="V31" s="10"/>
      <c r="W31" s="5"/>
    </row>
    <row r="32" spans="1:23" ht="17" thickBot="1" x14ac:dyDescent="0.25">
      <c r="A32" s="35" t="s">
        <v>32</v>
      </c>
      <c r="B32" s="33"/>
      <c r="C32" s="34"/>
      <c r="D32" s="33"/>
      <c r="E32" s="33"/>
      <c r="F32" s="33"/>
      <c r="G32" s="33"/>
      <c r="H32" s="33"/>
      <c r="I32" s="33"/>
      <c r="J32" s="33"/>
      <c r="K32" s="33"/>
      <c r="L32" s="33"/>
      <c r="M32" s="33"/>
      <c r="N32" s="32"/>
      <c r="P32" s="10"/>
      <c r="Q32" s="10"/>
      <c r="R32" s="10"/>
      <c r="S32" s="10"/>
      <c r="T32" s="10"/>
      <c r="U32" s="10"/>
      <c r="V32" s="10"/>
      <c r="W32" s="5"/>
    </row>
    <row r="33" spans="16:23" x14ac:dyDescent="0.2">
      <c r="P33" s="266" t="s">
        <v>122</v>
      </c>
      <c r="Q33" s="266"/>
      <c r="R33" s="266"/>
      <c r="S33" s="266"/>
      <c r="T33" s="266"/>
      <c r="U33" s="114"/>
      <c r="V33" s="10"/>
      <c r="W33" s="5"/>
    </row>
    <row r="34" spans="16:23" x14ac:dyDescent="0.2">
      <c r="P34" s="24" t="s">
        <v>21</v>
      </c>
      <c r="Q34" s="114"/>
      <c r="R34" s="114"/>
      <c r="S34" s="114"/>
      <c r="T34" s="114"/>
      <c r="U34" s="9"/>
      <c r="V34" s="9"/>
      <c r="W34" s="5"/>
    </row>
    <row r="35" spans="16:23" ht="17" x14ac:dyDescent="0.2">
      <c r="P35" s="16" t="s">
        <v>17</v>
      </c>
      <c r="Q35" s="111">
        <v>12</v>
      </c>
      <c r="R35" s="111">
        <v>24</v>
      </c>
      <c r="S35" s="111">
        <v>36</v>
      </c>
      <c r="T35" s="111">
        <v>48</v>
      </c>
      <c r="U35" s="9"/>
      <c r="V35" s="9"/>
      <c r="W35" s="5"/>
    </row>
    <row r="36" spans="16:23" x14ac:dyDescent="0.2">
      <c r="P36" s="11">
        <f>I18</f>
        <v>2012</v>
      </c>
      <c r="Q36" s="9">
        <f>J18*1000/D18</f>
        <v>933.33333333333337</v>
      </c>
      <c r="R36" s="9">
        <f>K18*1000/E18</f>
        <v>1074.6268656716418</v>
      </c>
      <c r="S36" s="9">
        <f>L18*1000/F18</f>
        <v>1083.3333333333333</v>
      </c>
      <c r="T36" s="9">
        <f>M18*1000/G18</f>
        <v>1082.1917808219177</v>
      </c>
      <c r="U36" s="9"/>
      <c r="V36" s="9"/>
      <c r="W36" s="9"/>
    </row>
    <row r="37" spans="16:23" x14ac:dyDescent="0.2">
      <c r="P37" s="11">
        <f>I19</f>
        <v>2013</v>
      </c>
      <c r="Q37" s="9">
        <f>J19*1000/D19</f>
        <v>906.25</v>
      </c>
      <c r="R37" s="9">
        <f>K19*1000/E19</f>
        <v>1006.993006993007</v>
      </c>
      <c r="S37" s="9">
        <f>L19*1000/F19</f>
        <v>1013.3333333333334</v>
      </c>
      <c r="T37" s="9"/>
      <c r="U37" s="9"/>
      <c r="V37" s="9"/>
      <c r="W37" s="9"/>
    </row>
    <row r="38" spans="16:23" x14ac:dyDescent="0.2">
      <c r="P38" s="11">
        <f>I20</f>
        <v>2014</v>
      </c>
      <c r="Q38" s="9">
        <f>J20*1000/D20</f>
        <v>1080.6451612903227</v>
      </c>
      <c r="R38" s="9">
        <f>K20*1000/E20</f>
        <v>1231.8840579710145</v>
      </c>
      <c r="S38" s="9"/>
      <c r="T38" s="9"/>
      <c r="U38" s="9"/>
      <c r="V38" s="9"/>
      <c r="W38" s="9"/>
    </row>
    <row r="39" spans="16:23" x14ac:dyDescent="0.2">
      <c r="P39" s="11">
        <f>I21</f>
        <v>2015</v>
      </c>
      <c r="Q39" s="9">
        <f>J21*1000/D21</f>
        <v>1169.2307692307693</v>
      </c>
      <c r="R39" s="9"/>
      <c r="S39" s="9"/>
      <c r="T39" s="9"/>
      <c r="U39" s="9"/>
      <c r="V39" s="9"/>
      <c r="W39" s="9"/>
    </row>
    <row r="40" spans="16:23" x14ac:dyDescent="0.2">
      <c r="P40" s="5"/>
      <c r="Q40" s="5"/>
      <c r="R40" s="5"/>
      <c r="S40" s="5"/>
      <c r="T40" s="5"/>
      <c r="U40" s="5"/>
      <c r="V40" s="5"/>
      <c r="W40" s="5"/>
    </row>
    <row r="41" spans="16:23" x14ac:dyDescent="0.2">
      <c r="P41" s="266" t="s">
        <v>118</v>
      </c>
      <c r="Q41" s="266"/>
      <c r="R41" s="266"/>
      <c r="S41" s="266"/>
      <c r="T41" s="266"/>
      <c r="U41" s="114"/>
      <c r="V41" s="5"/>
      <c r="W41" s="5"/>
    </row>
    <row r="42" spans="16:23" x14ac:dyDescent="0.2">
      <c r="P42" s="24" t="s">
        <v>21</v>
      </c>
      <c r="Q42" s="10"/>
      <c r="R42" s="10"/>
      <c r="S42" s="10"/>
      <c r="T42" s="10"/>
      <c r="U42" s="10"/>
      <c r="V42" s="5"/>
      <c r="W42" s="5"/>
    </row>
    <row r="43" spans="16:23" ht="17" x14ac:dyDescent="0.2">
      <c r="P43" s="16" t="s">
        <v>17</v>
      </c>
      <c r="Q43" s="112" t="s">
        <v>113</v>
      </c>
      <c r="R43" s="111" t="s">
        <v>112</v>
      </c>
      <c r="S43" s="111" t="s">
        <v>111</v>
      </c>
      <c r="T43" s="108"/>
      <c r="U43" s="108"/>
      <c r="V43" s="5"/>
      <c r="W43" s="5"/>
    </row>
    <row r="44" spans="16:23" x14ac:dyDescent="0.2">
      <c r="P44" s="11">
        <f>P25</f>
        <v>2012</v>
      </c>
      <c r="Q44" s="108">
        <f>R36/Q36</f>
        <v>1.1513859275053304</v>
      </c>
      <c r="R44" s="108">
        <f>S36/R36</f>
        <v>1.0081018518518519</v>
      </c>
      <c r="S44" s="108">
        <f>T36/S36</f>
        <v>0.99894625922023184</v>
      </c>
      <c r="T44" s="108"/>
      <c r="U44" s="108"/>
      <c r="V44" s="5"/>
      <c r="W44" s="5"/>
    </row>
    <row r="45" spans="16:23" x14ac:dyDescent="0.2">
      <c r="P45" s="11">
        <f>P26</f>
        <v>2013</v>
      </c>
      <c r="Q45" s="108">
        <f>R37/Q37</f>
        <v>1.1111646973715941</v>
      </c>
      <c r="R45" s="108">
        <f>S37/R37</f>
        <v>1.0062962962962962</v>
      </c>
      <c r="S45" s="108"/>
      <c r="T45" s="108"/>
      <c r="U45" s="108"/>
      <c r="V45" s="5"/>
      <c r="W45" s="5"/>
    </row>
    <row r="46" spans="16:23" x14ac:dyDescent="0.2">
      <c r="P46" s="11">
        <f>P27</f>
        <v>2014</v>
      </c>
      <c r="Q46" s="108">
        <f>R38/Q38</f>
        <v>1.1399524118537745</v>
      </c>
      <c r="R46" s="108"/>
      <c r="S46" s="108"/>
      <c r="T46" s="108"/>
      <c r="U46" s="108"/>
      <c r="V46" s="5"/>
      <c r="W46" s="10"/>
    </row>
    <row r="47" spans="16:23" x14ac:dyDescent="0.2">
      <c r="P47" s="10"/>
      <c r="Q47" s="10"/>
      <c r="R47" s="10"/>
      <c r="S47" s="10"/>
      <c r="T47" s="10"/>
      <c r="U47" s="10"/>
      <c r="V47" s="10"/>
      <c r="W47" s="10"/>
    </row>
    <row r="48" spans="16:23" ht="17" x14ac:dyDescent="0.2">
      <c r="P48" s="16"/>
      <c r="Q48" s="112" t="s">
        <v>113</v>
      </c>
      <c r="R48" s="111" t="s">
        <v>112</v>
      </c>
      <c r="S48" s="111" t="s">
        <v>111</v>
      </c>
      <c r="T48" s="111" t="s">
        <v>110</v>
      </c>
      <c r="U48" s="10"/>
      <c r="V48" s="10"/>
      <c r="W48" s="10"/>
    </row>
    <row r="49" spans="16:23" x14ac:dyDescent="0.2">
      <c r="P49" s="110" t="s">
        <v>109</v>
      </c>
      <c r="Q49" s="108">
        <f>AVERAGE(Q44:Q46)</f>
        <v>1.1341676789102328</v>
      </c>
      <c r="R49" s="108">
        <f>AVERAGE(R44:R46)</f>
        <v>1.0071990740740739</v>
      </c>
      <c r="S49" s="108">
        <f>AVERAGE(S44:S46)</f>
        <v>0.99894625922023184</v>
      </c>
      <c r="T49" s="108">
        <f>G26</f>
        <v>1.02</v>
      </c>
      <c r="U49" s="10"/>
      <c r="V49" s="10"/>
      <c r="W49" s="10"/>
    </row>
    <row r="50" spans="16:23" x14ac:dyDescent="0.2">
      <c r="P50" s="110" t="s">
        <v>104</v>
      </c>
      <c r="Q50" s="109">
        <f>Q49*R50</f>
        <v>1.1639514918316789</v>
      </c>
      <c r="R50" s="109">
        <f>R49*S50</f>
        <v>1.0262605022831051</v>
      </c>
      <c r="S50" s="109">
        <f>S49*T50</f>
        <v>1.0189251844046365</v>
      </c>
      <c r="T50" s="109">
        <f>T49</f>
        <v>1.02</v>
      </c>
      <c r="U50" s="10"/>
      <c r="V50" s="10"/>
      <c r="W50" s="10"/>
    </row>
    <row r="51" spans="16:23" x14ac:dyDescent="0.2">
      <c r="P51" s="5"/>
      <c r="Q51" s="5"/>
      <c r="R51" s="5"/>
      <c r="S51" s="5"/>
      <c r="T51" s="5"/>
      <c r="U51" s="5"/>
      <c r="V51" s="5"/>
      <c r="W51" s="10"/>
    </row>
    <row r="52" spans="16:23" x14ac:dyDescent="0.2">
      <c r="P52" s="5" t="s">
        <v>101</v>
      </c>
      <c r="Q52" s="5"/>
      <c r="R52" s="5"/>
      <c r="S52" s="5"/>
      <c r="T52" s="5"/>
      <c r="U52" s="5"/>
      <c r="V52" s="5"/>
      <c r="W52" s="10"/>
    </row>
    <row r="53" spans="16:23" x14ac:dyDescent="0.2">
      <c r="P53" s="5"/>
      <c r="Q53" s="5"/>
      <c r="R53" s="5"/>
      <c r="S53" s="5"/>
      <c r="T53" s="5"/>
      <c r="U53" s="5"/>
      <c r="V53" s="5"/>
      <c r="W53" s="5"/>
    </row>
    <row r="54" spans="16:23" ht="17" thickBot="1" x14ac:dyDescent="0.25">
      <c r="P54" s="5"/>
      <c r="Q54" s="5"/>
      <c r="R54" s="5"/>
      <c r="S54" s="24" t="s">
        <v>18</v>
      </c>
      <c r="T54" s="5"/>
      <c r="U54" s="5"/>
      <c r="V54" s="5"/>
      <c r="W54" s="5"/>
    </row>
    <row r="55" spans="16:23" x14ac:dyDescent="0.2">
      <c r="P55" s="24" t="s">
        <v>21</v>
      </c>
      <c r="Q55" s="168" t="s">
        <v>54</v>
      </c>
      <c r="R55" s="152"/>
      <c r="S55" s="24" t="s">
        <v>54</v>
      </c>
      <c r="T55" s="23" t="s">
        <v>291</v>
      </c>
      <c r="U55" s="5"/>
      <c r="V55" s="26" t="s">
        <v>18</v>
      </c>
      <c r="W55" s="22" t="s">
        <v>18</v>
      </c>
    </row>
    <row r="56" spans="16:23" ht="17" x14ac:dyDescent="0.2">
      <c r="P56" s="16" t="s">
        <v>17</v>
      </c>
      <c r="Q56" s="21" t="s">
        <v>53</v>
      </c>
      <c r="R56" s="21" t="s">
        <v>104</v>
      </c>
      <c r="S56" s="16" t="s">
        <v>53</v>
      </c>
      <c r="T56" s="21" t="s">
        <v>199</v>
      </c>
      <c r="U56" s="21" t="s">
        <v>104</v>
      </c>
      <c r="V56" s="21" t="s">
        <v>14</v>
      </c>
      <c r="W56" s="20" t="s">
        <v>13</v>
      </c>
    </row>
    <row r="57" spans="16:23" x14ac:dyDescent="0.2">
      <c r="P57" s="11">
        <f>P38</f>
        <v>2014</v>
      </c>
      <c r="Q57" s="9">
        <f>E20</f>
        <v>690</v>
      </c>
      <c r="R57" s="28">
        <f>R31</f>
        <v>1.1088321069477785</v>
      </c>
      <c r="S57" s="45">
        <f>Q57*R57</f>
        <v>765.09415379396717</v>
      </c>
      <c r="T57" s="9">
        <f>R38</f>
        <v>1231.8840579710145</v>
      </c>
      <c r="U57" s="108">
        <f>R50</f>
        <v>1.0262605022831051</v>
      </c>
      <c r="V57" s="9">
        <f>T57*U57</f>
        <v>1264.2339520878832</v>
      </c>
      <c r="W57" s="17">
        <f>V57*S57/1000</f>
        <v>967.25800577028178</v>
      </c>
    </row>
    <row r="58" spans="16:23" x14ac:dyDescent="0.2">
      <c r="P58" s="16">
        <f>P39</f>
        <v>2015</v>
      </c>
      <c r="Q58" s="15">
        <f>D21</f>
        <v>650</v>
      </c>
      <c r="R58" s="151">
        <f>Q31</f>
        <v>1.2369973503130069</v>
      </c>
      <c r="S58" s="150">
        <f>Q58*R58</f>
        <v>804.04827770345457</v>
      </c>
      <c r="T58" s="15">
        <f>Q39</f>
        <v>1169.2307692307693</v>
      </c>
      <c r="U58" s="149">
        <f>Q50</f>
        <v>1.1639514918316789</v>
      </c>
      <c r="V58" s="15">
        <f>T58*U58</f>
        <v>1360.9278981416553</v>
      </c>
      <c r="W58" s="12">
        <f>V58*S58/1000</f>
        <v>1094.2517325793806</v>
      </c>
    </row>
    <row r="59" spans="16:23" ht="18" thickBot="1" x14ac:dyDescent="0.25">
      <c r="P59" s="11" t="s">
        <v>12</v>
      </c>
      <c r="Q59" s="9"/>
      <c r="R59" s="9"/>
      <c r="S59" s="45">
        <f>SUM(S57:S58)</f>
        <v>1569.1424314974217</v>
      </c>
      <c r="T59" s="9"/>
      <c r="U59" s="9"/>
      <c r="V59" s="9"/>
      <c r="W59" s="147">
        <f>SUM(W57:W58)</f>
        <v>2061.5097383496623</v>
      </c>
    </row>
    <row r="62" spans="16:23" ht="19" x14ac:dyDescent="0.25">
      <c r="P62" s="101" t="s">
        <v>3</v>
      </c>
    </row>
    <row r="63" spans="16:23" x14ac:dyDescent="0.2">
      <c r="P63" s="256" t="s">
        <v>290</v>
      </c>
      <c r="Q63" s="256"/>
      <c r="R63" s="256"/>
      <c r="S63" s="256"/>
      <c r="T63" s="256"/>
      <c r="U63" s="256"/>
      <c r="V63" s="256"/>
      <c r="W63" s="256"/>
    </row>
    <row r="64" spans="16:23" x14ac:dyDescent="0.2">
      <c r="P64" s="256"/>
      <c r="Q64" s="256"/>
      <c r="R64" s="256"/>
      <c r="S64" s="256"/>
      <c r="T64" s="256"/>
      <c r="U64" s="256"/>
      <c r="V64" s="256"/>
      <c r="W64" s="256"/>
    </row>
    <row r="65" spans="16:23" x14ac:dyDescent="0.2">
      <c r="P65" s="256"/>
      <c r="Q65" s="256"/>
      <c r="R65" s="256"/>
      <c r="S65" s="256"/>
      <c r="T65" s="256"/>
      <c r="U65" s="256"/>
      <c r="V65" s="256"/>
      <c r="W65" s="256"/>
    </row>
    <row r="66" spans="16:23" x14ac:dyDescent="0.2">
      <c r="P66" s="256"/>
      <c r="Q66" s="256"/>
      <c r="R66" s="256"/>
      <c r="S66" s="256"/>
      <c r="T66" s="256"/>
      <c r="U66" s="256"/>
      <c r="V66" s="256"/>
      <c r="W66" s="256"/>
    </row>
    <row r="67" spans="16:23" x14ac:dyDescent="0.2">
      <c r="P67" s="256"/>
      <c r="Q67" s="256"/>
      <c r="R67" s="256"/>
      <c r="S67" s="256"/>
      <c r="T67" s="256"/>
      <c r="U67" s="256"/>
      <c r="V67" s="256"/>
      <c r="W67" s="256"/>
    </row>
    <row r="69" spans="16:23" ht="19" x14ac:dyDescent="0.25">
      <c r="P69" s="101" t="s">
        <v>1</v>
      </c>
    </row>
    <row r="70" spans="16:23" x14ac:dyDescent="0.2">
      <c r="P70" s="5" t="s">
        <v>95</v>
      </c>
    </row>
  </sheetData>
  <mergeCells count="9">
    <mergeCell ref="P63:W67"/>
    <mergeCell ref="P41:T41"/>
    <mergeCell ref="P33:T33"/>
    <mergeCell ref="P22:T22"/>
    <mergeCell ref="C7:G7"/>
    <mergeCell ref="I7:M7"/>
    <mergeCell ref="C15:G15"/>
    <mergeCell ref="I15:M15"/>
    <mergeCell ref="P14:V1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Sp 2013 #19</vt:lpstr>
      <vt:lpstr>Sp 2014 #16</vt:lpstr>
      <vt:lpstr>F 2013 #16</vt:lpstr>
      <vt:lpstr>F 2014 #17</vt:lpstr>
      <vt:lpstr>Sp 2015 #21</vt:lpstr>
      <vt:lpstr>F 2015 #20</vt:lpstr>
      <vt:lpstr>Sp 2016 #19</vt:lpstr>
      <vt:lpstr>F 2016 #20</vt:lpstr>
      <vt:lpstr>F 2016 #22</vt:lpstr>
      <vt:lpstr>Sp 2017 #16</vt:lpstr>
      <vt:lpstr>Sp 2017 #17</vt:lpstr>
      <vt:lpstr>F 2017 #18</vt:lpstr>
      <vt:lpstr>F 2017 #20</vt:lpstr>
      <vt:lpstr>F 2017 #23</vt:lpstr>
      <vt:lpstr>Sp 2018 #18</vt:lpstr>
      <vt:lpstr>Sp 2018M #17</vt:lpstr>
      <vt:lpstr>F 2018 #17</vt:lpstr>
      <vt:lpstr>Sp 2019 #15</vt:lpstr>
      <vt:lpstr>Sp 2019 #20</vt:lpstr>
      <vt:lpstr>F 2019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Roll</dc:creator>
  <cp:lastModifiedBy>Steve Roll</cp:lastModifiedBy>
  <dcterms:created xsi:type="dcterms:W3CDTF">2023-11-06T01:50:45Z</dcterms:created>
  <dcterms:modified xsi:type="dcterms:W3CDTF">2025-01-25T02:09:58Z</dcterms:modified>
</cp:coreProperties>
</file>